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9255" activeTab="2"/>
  </bookViews>
  <sheets>
    <sheet name="2010" sheetId="1" r:id="rId1"/>
    <sheet name="2011" sheetId="2" r:id="rId2"/>
    <sheet name="2012" sheetId="3" r:id="rId3"/>
    <sheet name="ФАКТ ожид 2012г" sheetId="4" r:id="rId4"/>
  </sheets>
  <definedNames/>
  <calcPr fullCalcOnLoad="1"/>
</workbook>
</file>

<file path=xl/sharedStrings.xml><?xml version="1.0" encoding="utf-8"?>
<sst xmlns="http://schemas.openxmlformats.org/spreadsheetml/2006/main" count="541" uniqueCount="227">
  <si>
    <t>п/п</t>
  </si>
  <si>
    <t>Наименование статей</t>
  </si>
  <si>
    <t>Ед. изм.</t>
  </si>
  <si>
    <t>Подконтрольные расходы всего, в т.ч.:</t>
  </si>
  <si>
    <t>тыс. руб.</t>
  </si>
  <si>
    <t>1.1.</t>
  </si>
  <si>
    <t>Материальные затраты</t>
  </si>
  <si>
    <t>1.2.</t>
  </si>
  <si>
    <t>Расходы на оплату труда</t>
  </si>
  <si>
    <t>1.3.</t>
  </si>
  <si>
    <t>Ремонт основных фондов</t>
  </si>
  <si>
    <t>1.4.</t>
  </si>
  <si>
    <t>Прочие подконтрольные расходы</t>
  </si>
  <si>
    <t>Неподконтрольные расходы всего, в т.ч.:</t>
  </si>
  <si>
    <t>2.1.</t>
  </si>
  <si>
    <t>Амортизация основных фондов</t>
  </si>
  <si>
    <t>2.2.</t>
  </si>
  <si>
    <t>Отчисления на социальные нужды (ЕСН)</t>
  </si>
  <si>
    <t>2.3.</t>
  </si>
  <si>
    <t>Электроэнергия на хозяйственные нужды</t>
  </si>
  <si>
    <t>Налоги всего, в т.ч.:</t>
  </si>
  <si>
    <t>плата за землю</t>
  </si>
  <si>
    <t>налог на имущество</t>
  </si>
  <si>
    <t>прочие налоги и сборы</t>
  </si>
  <si>
    <t>Выпадающие доходы</t>
  </si>
  <si>
    <t>Прочие неподконтрольные расходы</t>
  </si>
  <si>
    <t>Итого расходы на содержание сетей</t>
  </si>
  <si>
    <t xml:space="preserve">Уд. вес объема поступления эл/энергии на сторону в общем объеме поступления  в сеть </t>
  </si>
  <si>
    <t>%</t>
  </si>
  <si>
    <t>Расходы на содержание сетей с учетом уд. веса на сторону</t>
  </si>
  <si>
    <t>Валовая прибыль всего, в т.ч.:</t>
  </si>
  <si>
    <t>Прибыль на развитие производства (капвложения из прибыли)</t>
  </si>
  <si>
    <t>Налог на прибыль</t>
  </si>
  <si>
    <t>Прибыль на прочие цели</t>
  </si>
  <si>
    <t>Всего необходимая валовая выручка по содержанию сетей</t>
  </si>
  <si>
    <t>Другие неподконтрольные расходы</t>
  </si>
  <si>
    <t xml:space="preserve">Всего расходы на содержание сетей </t>
  </si>
  <si>
    <t>2.5.</t>
  </si>
  <si>
    <t>Справочно:</t>
  </si>
  <si>
    <t>1. Объем поступления э/энергии в сеть</t>
  </si>
  <si>
    <t>т.кВтч</t>
  </si>
  <si>
    <t>2. Объем поступления э/энергии на сторону</t>
  </si>
  <si>
    <t>чел.</t>
  </si>
  <si>
    <t>руб.</t>
  </si>
  <si>
    <t>Присоединенная мощность</t>
  </si>
  <si>
    <t>МВА</t>
  </si>
  <si>
    <t>Ставка на содержание электросетей</t>
  </si>
  <si>
    <t>руб./МВА</t>
  </si>
  <si>
    <t>Плата за потери</t>
  </si>
  <si>
    <t>Объем полезного отпуска на сторону</t>
  </si>
  <si>
    <t>тыс. кВтч</t>
  </si>
  <si>
    <t>Ставка на оплату потерь</t>
  </si>
  <si>
    <t>руб/МВтч</t>
  </si>
  <si>
    <t>Одноставочный тариф на услуги по передаче электроэнергии</t>
  </si>
  <si>
    <t>3. Потери в сетях на сторону</t>
  </si>
  <si>
    <t>4. Потери в сетях на сторону</t>
  </si>
  <si>
    <t>5. Цена покупки потерь</t>
  </si>
  <si>
    <t>6. Численность ППП</t>
  </si>
  <si>
    <t>7. Среднемесячная заработная плата</t>
  </si>
  <si>
    <t xml:space="preserve">Смета  расходов на услуги по передаче электрической энергии </t>
  </si>
  <si>
    <t>10.</t>
  </si>
  <si>
    <t>11.</t>
  </si>
  <si>
    <t>12.</t>
  </si>
  <si>
    <t>13.</t>
  </si>
  <si>
    <t>14.</t>
  </si>
  <si>
    <t>15.</t>
  </si>
  <si>
    <t>16.</t>
  </si>
  <si>
    <t>Рентабельность</t>
  </si>
  <si>
    <t>10.1.</t>
  </si>
  <si>
    <t>10.2.</t>
  </si>
  <si>
    <t>10.3.</t>
  </si>
  <si>
    <t>17.</t>
  </si>
  <si>
    <t>на 2010-2012гг.</t>
  </si>
  <si>
    <t>ФАКТ 2010г.</t>
  </si>
  <si>
    <t>ФАКТ 2011г.</t>
  </si>
  <si>
    <t xml:space="preserve">Ожидаемый факт 2012г. </t>
  </si>
  <si>
    <t>Предложение на 2013г.</t>
  </si>
  <si>
    <t>1.5.</t>
  </si>
  <si>
    <t>2.3.1.</t>
  </si>
  <si>
    <t>2.3.2.</t>
  </si>
  <si>
    <t>2.3.3.</t>
  </si>
  <si>
    <t>ПЕРЕПЛАТА</t>
  </si>
  <si>
    <t>КАЛЬКУЛЯЦИЯ</t>
  </si>
  <si>
    <t>СТОИМОСТИ  УСЛУГ  ПО  ПЕРЕДАЧЕ  ЭЛЕКТРОЭНЕРГИИ</t>
  </si>
  <si>
    <t>ОАО "Минудобрения"</t>
  </si>
  <si>
    <t xml:space="preserve">          на</t>
  </si>
  <si>
    <t>2010</t>
  </si>
  <si>
    <t>год</t>
  </si>
  <si>
    <t xml:space="preserve"> </t>
  </si>
  <si>
    <t>Регули-</t>
  </si>
  <si>
    <t>Коэфф.</t>
  </si>
  <si>
    <t>Предложения УРТ</t>
  </si>
  <si>
    <t xml:space="preserve">Наименование  </t>
  </si>
  <si>
    <t>Ед.</t>
  </si>
  <si>
    <t>Утверждено</t>
  </si>
  <si>
    <t>Факт</t>
  </si>
  <si>
    <t>руемый-</t>
  </si>
  <si>
    <t>изменен.</t>
  </si>
  <si>
    <t>коэфф.</t>
  </si>
  <si>
    <t>коэф.изм</t>
  </si>
  <si>
    <t>№№</t>
  </si>
  <si>
    <t>изм.</t>
  </si>
  <si>
    <t>ГУТ</t>
  </si>
  <si>
    <t>(ожидаем.)</t>
  </si>
  <si>
    <t>период</t>
  </si>
  <si>
    <t>к базо-</t>
  </si>
  <si>
    <t>затраты</t>
  </si>
  <si>
    <t xml:space="preserve">изм. </t>
  </si>
  <si>
    <t>по отнош</t>
  </si>
  <si>
    <t>статей</t>
  </si>
  <si>
    <t>с</t>
  </si>
  <si>
    <t>вому</t>
  </si>
  <si>
    <t>на</t>
  </si>
  <si>
    <t>к утв.</t>
  </si>
  <si>
    <t>к предл.</t>
  </si>
  <si>
    <t>01.01.2009г.</t>
  </si>
  <si>
    <t>2009г.</t>
  </si>
  <si>
    <t>2010г.</t>
  </si>
  <si>
    <t>периоду</t>
  </si>
  <si>
    <t>предпр.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</si>
  <si>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</si>
  <si>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</si>
  <si>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</si>
  <si>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</si>
  <si>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</si>
  <si>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</si>
  <si>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</si>
  <si>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</si>
  <si>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</si>
  <si>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</si>
  <si>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Зарплата основная и дополнительная</t>
  </si>
  <si>
    <t xml:space="preserve"> производственных  рабочих</t>
  </si>
  <si>
    <t>тыс.руб.</t>
  </si>
  <si>
    <t>Отчисления  на социальные  нужды</t>
  </si>
  <si>
    <t>Общепроизводствен. расходы,в т.ч.:</t>
  </si>
  <si>
    <t>3.1.</t>
  </si>
  <si>
    <t xml:space="preserve">Амортизация производственного  </t>
  </si>
  <si>
    <t>оборудования, транспортных средств,</t>
  </si>
  <si>
    <t>зданий, сооружений</t>
  </si>
  <si>
    <t>3.2.</t>
  </si>
  <si>
    <t xml:space="preserve">Ремонт основных фондов </t>
  </si>
  <si>
    <t>3.3.</t>
  </si>
  <si>
    <t xml:space="preserve">Зарплата основная и дополнительная, </t>
  </si>
  <si>
    <t>отчисления на соцнужды прочего</t>
  </si>
  <si>
    <t>производственного персонала</t>
  </si>
  <si>
    <t>3.4.</t>
  </si>
  <si>
    <t>Прочие  расходы</t>
  </si>
  <si>
    <t>Итого  цеховая  себестоимость</t>
  </si>
  <si>
    <t>Уд. вес объема поступления эл/энергии на сторону, в общем объеме поступления эл/энергии в сеть</t>
  </si>
  <si>
    <t xml:space="preserve">на  сторону,  в общем  объеме  </t>
  </si>
  <si>
    <t>поступления эл/энергии в сеть</t>
  </si>
  <si>
    <t>Цеховая  себестоимость эл/энергии</t>
  </si>
  <si>
    <t>отпускаемой  на  сторону</t>
  </si>
  <si>
    <t>Общехозяйственные  расходы</t>
  </si>
  <si>
    <t>Полная себестоимость по содержанию</t>
  </si>
  <si>
    <t xml:space="preserve">  электрических сетей</t>
  </si>
  <si>
    <t xml:space="preserve">Рентабельность  </t>
  </si>
  <si>
    <t xml:space="preserve">Прибыль </t>
  </si>
  <si>
    <t>11</t>
  </si>
  <si>
    <t>НВВ на содержание электр. сетей</t>
  </si>
  <si>
    <t>12</t>
  </si>
  <si>
    <t>13</t>
  </si>
  <si>
    <t>Ставка на содержание эл.сетей</t>
  </si>
  <si>
    <t>руб/МВА</t>
  </si>
  <si>
    <t>14</t>
  </si>
  <si>
    <t>15</t>
  </si>
  <si>
    <t>тыс.кВтч</t>
  </si>
  <si>
    <t>16</t>
  </si>
  <si>
    <t>1. Объем поступления  эл/энергии в сеть</t>
  </si>
  <si>
    <t>2. Объем поступления  эл/энергии на сторону</t>
  </si>
  <si>
    <t xml:space="preserve">3. Потери  в  сетях на сторону </t>
  </si>
  <si>
    <t>5. Тариф на услуги по передаче эл/энергии</t>
  </si>
  <si>
    <t>2011</t>
  </si>
  <si>
    <t>УРТ c</t>
  </si>
  <si>
    <t xml:space="preserve">к </t>
  </si>
  <si>
    <t xml:space="preserve"> 01.01.2011</t>
  </si>
  <si>
    <t>утв.</t>
  </si>
  <si>
    <t>2011г.</t>
  </si>
  <si>
    <t>УРТ</t>
  </si>
  <si>
    <t>17</t>
  </si>
  <si>
    <t>Одноставочный тариф на услуги по передаче эл/энергии</t>
  </si>
  <si>
    <t>ООО "Минудобрения"</t>
  </si>
  <si>
    <t>на 2012-2014гг.</t>
  </si>
  <si>
    <t>Показатели для расчета коэф. индексации ПР</t>
  </si>
  <si>
    <t>2012г.</t>
  </si>
  <si>
    <t>2013г.</t>
  </si>
  <si>
    <t>2014г.</t>
  </si>
  <si>
    <t>инфляция МЭР (ИПЦ)</t>
  </si>
  <si>
    <t>коэф-т  эластичности ПР по кол-ву активов</t>
  </si>
  <si>
    <t>количество активов (условных единиц)</t>
  </si>
  <si>
    <t>индекс эффективности ПР</t>
  </si>
  <si>
    <t>коэффициент индексации ПР</t>
  </si>
  <si>
    <t>Утвержд. с 01.01.2012г.  на уровне с 01.05.2011г.</t>
  </si>
  <si>
    <t>Предложение УРТ</t>
  </si>
  <si>
    <t>с 01.07.2012г. по 30.06.2013г.</t>
  </si>
  <si>
    <t>Показатели на 2012г.</t>
  </si>
  <si>
    <t>Показатели на 2013г.</t>
  </si>
  <si>
    <t>Показатели на 2014г.</t>
  </si>
  <si>
    <t>1 полугодие 2012г.</t>
  </si>
  <si>
    <t>2 полугодие 2012г.</t>
  </si>
  <si>
    <t xml:space="preserve">индекс измен. к         1 п/г. 2012г. </t>
  </si>
  <si>
    <t>Средневзве-шенный на 2012г.</t>
  </si>
  <si>
    <t xml:space="preserve">индекс измен. к   утвержд. с 01.01.2012г. </t>
  </si>
  <si>
    <t>1 полугодие 2013г.</t>
  </si>
  <si>
    <t>2 полугодие 2013г.</t>
  </si>
  <si>
    <t xml:space="preserve">индекс измен. к         1 п/г. 2013г. </t>
  </si>
  <si>
    <t xml:space="preserve">индекс  измен. к средневзвеш. 2012г. </t>
  </si>
  <si>
    <t>1 полугодие 2014г.</t>
  </si>
  <si>
    <t>2 полугодие 2014г.</t>
  </si>
  <si>
    <t xml:space="preserve">индекс измен. к         1 п/г. 2014г. </t>
  </si>
  <si>
    <t xml:space="preserve">индекс  измен. к 2013г. </t>
  </si>
  <si>
    <t>2.4.</t>
  </si>
  <si>
    <t>Расходы на содержание сетей с учетом уд. веса на сторону, в т.ч.:</t>
  </si>
  <si>
    <t>5.1.</t>
  </si>
  <si>
    <t>Подконтрольные расходы с учетом удельного веса на сторону</t>
  </si>
  <si>
    <t>9.</t>
  </si>
  <si>
    <t>разница с рентаб.</t>
  </si>
  <si>
    <t>Индекс изменен.      к 2010г.      %</t>
  </si>
  <si>
    <t>Индекс изменен.     к 2011г.    %</t>
  </si>
  <si>
    <t xml:space="preserve">    Результат деятельности</t>
  </si>
  <si>
    <t>1. Доходы от реализации услуг по передаче э/энергии</t>
  </si>
  <si>
    <t>2. Расходы на оказание услуг по передаче э/энергии</t>
  </si>
  <si>
    <t>3. Прибыль/ -Убыток</t>
  </si>
  <si>
    <t>4. Рентабельность</t>
  </si>
  <si>
    <t>Приложение №1</t>
  </si>
  <si>
    <t xml:space="preserve">Смета  расходов на услуги по передаче эл. энергии </t>
  </si>
  <si>
    <t>Фактическая оплата потерь ОАО "ВАЭС"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</si>
</sst>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00"/>
    <numFmt numFmtId="185" formatCode="#,##0.000000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2" fontId="1" fillId="34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2" fontId="7" fillId="35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178" fontId="1" fillId="34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175" fontId="1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 horizontal="right" vertical="justify"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178" fontId="4" fillId="35" borderId="10" xfId="0" applyNumberFormat="1" applyFont="1" applyFill="1" applyBorder="1" applyAlignment="1">
      <alignment horizontal="right" vertical="center"/>
    </xf>
    <xf numFmtId="178" fontId="1" fillId="35" borderId="10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1" fontId="1" fillId="35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78" fontId="7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/>
      <protection/>
    </xf>
    <xf numFmtId="49" fontId="15" fillId="0" borderId="20" xfId="0" applyNumberFormat="1" applyFont="1" applyBorder="1" applyAlignment="1" applyProtection="1">
      <alignment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20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3" fillId="34" borderId="22" xfId="0" applyNumberFormat="1" applyFont="1" applyFill="1" applyBorder="1" applyAlignment="1" applyProtection="1">
      <alignment horizontal="right"/>
      <protection locked="0"/>
    </xf>
    <xf numFmtId="2" fontId="3" fillId="36" borderId="22" xfId="0" applyNumberFormat="1" applyFont="1" applyFill="1" applyBorder="1" applyAlignment="1" applyProtection="1">
      <alignment horizontal="right"/>
      <protection/>
    </xf>
    <xf numFmtId="0" fontId="3" fillId="36" borderId="22" xfId="0" applyNumberFormat="1" applyFont="1" applyFill="1" applyBorder="1" applyAlignment="1" applyProtection="1">
      <alignment horizontal="right"/>
      <protection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3" fillId="36" borderId="10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right" vertical="center" wrapText="1"/>
      <protection locked="0"/>
    </xf>
    <xf numFmtId="2" fontId="3" fillId="36" borderId="20" xfId="0" applyNumberFormat="1" applyFont="1" applyFill="1" applyBorder="1" applyAlignment="1" applyProtection="1">
      <alignment horizontal="right"/>
      <protection/>
    </xf>
    <xf numFmtId="0" fontId="3" fillId="36" borderId="2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34" borderId="12" xfId="0" applyNumberFormat="1" applyFont="1" applyFill="1" applyBorder="1" applyAlignment="1" applyProtection="1">
      <alignment horizontal="right"/>
      <protection/>
    </xf>
    <xf numFmtId="2" fontId="3" fillId="34" borderId="12" xfId="0" applyNumberFormat="1" applyFont="1" applyFill="1" applyBorder="1" applyAlignment="1" applyProtection="1">
      <alignment horizontal="right"/>
      <protection/>
    </xf>
    <xf numFmtId="2" fontId="3" fillId="34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34" borderId="11" xfId="0" applyNumberFormat="1" applyFont="1" applyFill="1" applyBorder="1" applyAlignment="1" applyProtection="1">
      <alignment horizontal="right"/>
      <protection/>
    </xf>
    <xf numFmtId="2" fontId="3" fillId="34" borderId="11" xfId="0" applyNumberFormat="1" applyFont="1" applyFill="1" applyBorder="1" applyAlignment="1" applyProtection="1">
      <alignment horizontal="right"/>
      <protection/>
    </xf>
    <xf numFmtId="2" fontId="3" fillId="34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2" fontId="3" fillId="36" borderId="11" xfId="0" applyNumberFormat="1" applyFont="1" applyFill="1" applyBorder="1" applyAlignment="1" applyProtection="1">
      <alignment horizontal="right"/>
      <protection/>
    </xf>
    <xf numFmtId="0" fontId="3" fillId="36" borderId="11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Border="1" applyAlignment="1">
      <alignment horizontal="center" vertical="top"/>
    </xf>
    <xf numFmtId="0" fontId="3" fillId="34" borderId="16" xfId="0" applyNumberFormat="1" applyFont="1" applyFill="1" applyBorder="1" applyAlignment="1" applyProtection="1">
      <alignment horizontal="right" vertical="center"/>
      <protection locked="0"/>
    </xf>
    <xf numFmtId="2" fontId="3" fillId="36" borderId="12" xfId="0" applyNumberFormat="1" applyFont="1" applyFill="1" applyBorder="1" applyAlignment="1" applyProtection="1">
      <alignment horizontal="right"/>
      <protection/>
    </xf>
    <xf numFmtId="0" fontId="3" fillId="36" borderId="12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21" xfId="0" applyNumberFormat="1" applyFont="1" applyFill="1" applyBorder="1" applyAlignment="1" applyProtection="1">
      <alignment horizontal="right" vertical="center"/>
      <protection/>
    </xf>
    <xf numFmtId="2" fontId="3" fillId="34" borderId="12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Border="1" applyAlignment="1">
      <alignment horizontal="center" vertical="top"/>
    </xf>
    <xf numFmtId="0" fontId="3" fillId="34" borderId="11" xfId="0" applyNumberFormat="1" applyFont="1" applyFill="1" applyBorder="1" applyAlignment="1" applyProtection="1">
      <alignment horizontal="right" vertical="center"/>
      <protection/>
    </xf>
    <xf numFmtId="2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NumberFormat="1" applyFont="1" applyFill="1" applyBorder="1" applyAlignment="1" applyProtection="1">
      <alignment horizontal="right" vertical="top"/>
      <protection locked="0"/>
    </xf>
    <xf numFmtId="0" fontId="3" fillId="36" borderId="10" xfId="0" applyNumberFormat="1" applyFont="1" applyFill="1" applyBorder="1" applyAlignment="1" applyProtection="1">
      <alignment horizontal="right" vertical="top"/>
      <protection/>
    </xf>
    <xf numFmtId="49" fontId="1" fillId="0" borderId="12" xfId="0" applyNumberFormat="1" applyFont="1" applyBorder="1" applyAlignment="1">
      <alignment horizontal="center" vertical="top"/>
    </xf>
    <xf numFmtId="178" fontId="3" fillId="34" borderId="16" xfId="0" applyNumberFormat="1" applyFont="1" applyFill="1" applyBorder="1" applyAlignment="1" applyProtection="1">
      <alignment horizontal="right"/>
      <protection locked="0"/>
    </xf>
    <xf numFmtId="0" fontId="3" fillId="34" borderId="16" xfId="0" applyNumberFormat="1" applyFont="1" applyFill="1" applyBorder="1" applyAlignment="1" applyProtection="1">
      <alignment horizontal="right" vertical="top"/>
      <protection locked="0"/>
    </xf>
    <xf numFmtId="0" fontId="3" fillId="34" borderId="12" xfId="0" applyNumberFormat="1" applyFont="1" applyFill="1" applyBorder="1" applyAlignment="1">
      <alignment horizontal="right"/>
    </xf>
    <xf numFmtId="2" fontId="3" fillId="34" borderId="12" xfId="0" applyNumberFormat="1" applyFont="1" applyFill="1" applyBorder="1" applyAlignment="1">
      <alignment horizontal="right"/>
    </xf>
    <xf numFmtId="49" fontId="1" fillId="0" borderId="21" xfId="0" applyNumberFormat="1" applyFont="1" applyBorder="1" applyAlignment="1" applyProtection="1">
      <alignment horizontal="center"/>
      <protection/>
    </xf>
    <xf numFmtId="0" fontId="3" fillId="34" borderId="21" xfId="0" applyNumberFormat="1" applyFont="1" applyFill="1" applyBorder="1" applyAlignment="1" applyProtection="1">
      <alignment horizontal="right" vertical="top"/>
      <protection/>
    </xf>
    <xf numFmtId="0" fontId="3" fillId="34" borderId="12" xfId="0" applyNumberFormat="1" applyFont="1" applyFill="1" applyBorder="1" applyAlignment="1" applyProtection="1">
      <alignment horizontal="right" vertical="top"/>
      <protection/>
    </xf>
    <xf numFmtId="49" fontId="1" fillId="0" borderId="27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 applyProtection="1">
      <alignment horizontal="center"/>
      <protection/>
    </xf>
    <xf numFmtId="0" fontId="3" fillId="34" borderId="27" xfId="0" applyNumberFormat="1" applyFont="1" applyFill="1" applyBorder="1" applyAlignment="1" applyProtection="1">
      <alignment horizontal="right" vertical="top"/>
      <protection/>
    </xf>
    <xf numFmtId="0" fontId="3" fillId="34" borderId="11" xfId="0" applyNumberFormat="1" applyFont="1" applyFill="1" applyBorder="1" applyAlignment="1" applyProtection="1">
      <alignment horizontal="right" vertical="top"/>
      <protection/>
    </xf>
    <xf numFmtId="2" fontId="3" fillId="36" borderId="12" xfId="0" applyNumberFormat="1" applyFont="1" applyFill="1" applyBorder="1" applyAlignment="1" applyProtection="1">
      <alignment horizontal="right" vertical="top"/>
      <protection/>
    </xf>
    <xf numFmtId="49" fontId="1" fillId="0" borderId="11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 applyProtection="1">
      <alignment horizontal="right"/>
      <protection/>
    </xf>
    <xf numFmtId="2" fontId="3" fillId="36" borderId="10" xfId="0" applyNumberFormat="1" applyFont="1" applyFill="1" applyBorder="1" applyAlignment="1" applyProtection="1">
      <alignment horizontal="right"/>
      <protection/>
    </xf>
    <xf numFmtId="2" fontId="3" fillId="36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1" xfId="0" applyNumberFormat="1" applyFont="1" applyFill="1" applyBorder="1" applyAlignment="1" applyProtection="1">
      <alignment horizontal="center" vertical="center"/>
      <protection/>
    </xf>
    <xf numFmtId="2" fontId="3" fillId="34" borderId="11" xfId="0" applyNumberFormat="1" applyFont="1" applyFill="1" applyBorder="1" applyAlignment="1" applyProtection="1">
      <alignment horizontal="right"/>
      <protection locked="0"/>
    </xf>
    <xf numFmtId="0" fontId="14" fillId="36" borderId="10" xfId="0" applyNumberFormat="1" applyFont="1" applyFill="1" applyBorder="1" applyAlignment="1" applyProtection="1">
      <alignment horizontal="right"/>
      <protection/>
    </xf>
    <xf numFmtId="0" fontId="1" fillId="0" borderId="28" xfId="0" applyFont="1" applyBorder="1" applyAlignment="1">
      <alignment/>
    </xf>
    <xf numFmtId="0" fontId="3" fillId="34" borderId="28" xfId="0" applyNumberFormat="1" applyFont="1" applyFill="1" applyBorder="1" applyAlignment="1">
      <alignment horizontal="right"/>
    </xf>
    <xf numFmtId="2" fontId="3" fillId="34" borderId="28" xfId="0" applyNumberFormat="1" applyFont="1" applyFill="1" applyBorder="1" applyAlignment="1">
      <alignment horizontal="right"/>
    </xf>
    <xf numFmtId="2" fontId="3" fillId="34" borderId="14" xfId="0" applyNumberFormat="1" applyFont="1" applyFill="1" applyBorder="1" applyAlignment="1">
      <alignment horizontal="right"/>
    </xf>
    <xf numFmtId="0" fontId="3" fillId="36" borderId="10" xfId="0" applyNumberFormat="1" applyFont="1" applyFill="1" applyBorder="1" applyAlignment="1" applyProtection="1">
      <alignment horizontal="right"/>
      <protection locked="0"/>
    </xf>
    <xf numFmtId="2" fontId="3" fillId="34" borderId="10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2" fontId="3" fillId="34" borderId="22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4" fillId="36" borderId="10" xfId="0" applyFont="1" applyFill="1" applyBorder="1" applyAlignment="1">
      <alignment/>
    </xf>
    <xf numFmtId="0" fontId="14" fillId="34" borderId="10" xfId="0" applyFont="1" applyFill="1" applyBorder="1" applyAlignment="1" applyProtection="1">
      <alignment/>
      <protection locked="0"/>
    </xf>
    <xf numFmtId="185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185" fontId="1" fillId="0" borderId="0" xfId="0" applyNumberFormat="1" applyFont="1" applyAlignment="1" applyProtection="1">
      <alignment/>
      <protection/>
    </xf>
    <xf numFmtId="49" fontId="16" fillId="0" borderId="12" xfId="0" applyNumberFormat="1" applyFont="1" applyFill="1" applyBorder="1" applyAlignment="1" applyProtection="1">
      <alignment horizontal="center"/>
      <protection locked="0"/>
    </xf>
    <xf numFmtId="49" fontId="14" fillId="0" borderId="12" xfId="0" applyNumberFormat="1" applyFont="1" applyFill="1" applyBorder="1" applyAlignment="1" applyProtection="1">
      <alignment horizontal="center"/>
      <protection locked="0"/>
    </xf>
    <xf numFmtId="185" fontId="1" fillId="0" borderId="0" xfId="0" applyNumberFormat="1" applyFont="1" applyAlignment="1" applyProtection="1">
      <alignment horizontal="center"/>
      <protection/>
    </xf>
    <xf numFmtId="2" fontId="14" fillId="36" borderId="10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15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/>
    </xf>
    <xf numFmtId="2" fontId="15" fillId="34" borderId="10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2" fontId="15" fillId="33" borderId="10" xfId="0" applyNumberFormat="1" applyFont="1" applyFill="1" applyBorder="1" applyAlignment="1">
      <alignment vertical="center"/>
    </xf>
    <xf numFmtId="2" fontId="15" fillId="33" borderId="11" xfId="0" applyNumberFormat="1" applyFont="1" applyFill="1" applyBorder="1" applyAlignment="1">
      <alignment vertical="center"/>
    </xf>
    <xf numFmtId="178" fontId="15" fillId="33" borderId="10" xfId="0" applyNumberFormat="1" applyFont="1" applyFill="1" applyBorder="1" applyAlignment="1">
      <alignment vertical="center"/>
    </xf>
    <xf numFmtId="178" fontId="15" fillId="33" borderId="11" xfId="0" applyNumberFormat="1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5" fillId="34" borderId="11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vertical="center"/>
    </xf>
    <xf numFmtId="178" fontId="15" fillId="34" borderId="10" xfId="0" applyNumberFormat="1" applyFont="1" applyFill="1" applyBorder="1" applyAlignment="1">
      <alignment vertical="center"/>
    </xf>
    <xf numFmtId="178" fontId="15" fillId="33" borderId="11" xfId="0" applyNumberFormat="1" applyFont="1" applyFill="1" applyBorder="1" applyAlignment="1">
      <alignment horizontal="right" vertical="center"/>
    </xf>
    <xf numFmtId="178" fontId="15" fillId="34" borderId="11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right" vertical="justify"/>
    </xf>
    <xf numFmtId="2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175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7" xfId="0" applyNumberFormat="1" applyFon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 applyProtection="1">
      <alignment horizontal="left" vertical="top" wrapText="1"/>
      <protection/>
    </xf>
    <xf numFmtId="49" fontId="1" fillId="0" borderId="27" xfId="0" applyNumberFormat="1" applyFont="1" applyBorder="1" applyAlignment="1" applyProtection="1">
      <alignment horizontal="left" vertical="top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14" fillId="0" borderId="13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 applyProtection="1">
      <alignment horizontal="center"/>
      <protection locked="0"/>
    </xf>
    <xf numFmtId="49" fontId="14" fillId="0" borderId="14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49" fontId="15" fillId="0" borderId="20" xfId="0" applyNumberFormat="1" applyFont="1" applyBorder="1" applyAlignment="1" applyProtection="1">
      <alignment horizontal="center"/>
      <protection/>
    </xf>
    <xf numFmtId="49" fontId="17" fillId="0" borderId="13" xfId="0" applyNumberFormat="1" applyFont="1" applyBorder="1" applyAlignment="1">
      <alignment wrapText="1"/>
    </xf>
    <xf numFmtId="49" fontId="17" fillId="0" borderId="28" xfId="0" applyNumberFormat="1" applyFont="1" applyBorder="1" applyAlignment="1">
      <alignment wrapText="1"/>
    </xf>
    <xf numFmtId="49" fontId="17" fillId="0" borderId="14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60" customWidth="1"/>
    <col min="4" max="4" width="16.140625" style="0" customWidth="1"/>
    <col min="5" max="5" width="9.421875" style="0" customWidth="1"/>
    <col min="6" max="6" width="10.28125" style="0" customWidth="1"/>
    <col min="7" max="7" width="10.140625" style="0" customWidth="1"/>
    <col min="8" max="8" width="10.28125" style="0" customWidth="1"/>
    <col min="9" max="9" width="7.7109375" style="0" customWidth="1"/>
    <col min="10" max="10" width="10.57421875" style="0" customWidth="1"/>
    <col min="11" max="11" width="7.8515625" style="0" customWidth="1"/>
    <col min="12" max="12" width="7.7109375" style="0" customWidth="1"/>
  </cols>
  <sheetData>
    <row r="1" spans="1:9" ht="15.75">
      <c r="A1" s="1"/>
      <c r="B1" s="2"/>
      <c r="C1" s="2"/>
      <c r="D1" s="296" t="s">
        <v>82</v>
      </c>
      <c r="E1" s="296"/>
      <c r="F1" s="296"/>
      <c r="G1" s="68"/>
      <c r="H1" s="2"/>
      <c r="I1" s="2"/>
    </row>
    <row r="2" spans="1:9" s="70" customFormat="1" ht="17.25" customHeight="1">
      <c r="A2" s="297" t="s">
        <v>83</v>
      </c>
      <c r="B2" s="297"/>
      <c r="C2" s="297"/>
      <c r="D2" s="297"/>
      <c r="E2" s="297"/>
      <c r="F2" s="297"/>
      <c r="G2" s="297"/>
      <c r="H2" s="297"/>
      <c r="I2" s="297"/>
    </row>
    <row r="3" spans="1:10" s="70" customFormat="1" ht="15.75">
      <c r="A3" s="71"/>
      <c r="B3" s="298" t="s">
        <v>84</v>
      </c>
      <c r="C3" s="298"/>
      <c r="D3" s="298"/>
      <c r="E3" s="298"/>
      <c r="F3" s="298"/>
      <c r="G3" s="298"/>
      <c r="H3" s="298"/>
      <c r="I3" s="298"/>
      <c r="J3" s="298"/>
    </row>
    <row r="4" spans="1:7" s="70" customFormat="1" ht="15.75">
      <c r="A4" s="72"/>
      <c r="D4" s="69" t="s">
        <v>85</v>
      </c>
      <c r="E4" s="73" t="s">
        <v>86</v>
      </c>
      <c r="F4" s="69" t="s">
        <v>87</v>
      </c>
      <c r="G4" s="69"/>
    </row>
    <row r="5" spans="1:12" s="70" customFormat="1" ht="12">
      <c r="A5" s="74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</row>
    <row r="6" spans="1:12" s="83" customFormat="1" ht="14.25">
      <c r="A6" s="77" t="s">
        <v>88</v>
      </c>
      <c r="B6" s="78" t="s">
        <v>88</v>
      </c>
      <c r="C6" s="79"/>
      <c r="D6" s="80"/>
      <c r="E6" s="77"/>
      <c r="F6" s="82"/>
      <c r="G6" s="82"/>
      <c r="H6" s="82" t="s">
        <v>89</v>
      </c>
      <c r="I6" s="82" t="s">
        <v>90</v>
      </c>
      <c r="J6" s="299" t="s">
        <v>91</v>
      </c>
      <c r="K6" s="300"/>
      <c r="L6" s="301"/>
    </row>
    <row r="7" spans="1:12" s="83" customFormat="1" ht="12.75" customHeight="1">
      <c r="A7" s="84" t="s">
        <v>88</v>
      </c>
      <c r="B7" s="302" t="s">
        <v>92</v>
      </c>
      <c r="C7" s="303"/>
      <c r="D7" s="304"/>
      <c r="E7" s="85" t="s">
        <v>93</v>
      </c>
      <c r="F7" s="86" t="s">
        <v>94</v>
      </c>
      <c r="G7" s="86" t="s">
        <v>95</v>
      </c>
      <c r="H7" s="87" t="s">
        <v>96</v>
      </c>
      <c r="I7" s="87" t="s">
        <v>97</v>
      </c>
      <c r="J7" s="88"/>
      <c r="K7" s="82" t="s">
        <v>98</v>
      </c>
      <c r="L7" s="89" t="s">
        <v>99</v>
      </c>
    </row>
    <row r="8" spans="1:12" s="83" customFormat="1" ht="15.75">
      <c r="A8" s="84" t="s">
        <v>100</v>
      </c>
      <c r="B8" s="90"/>
      <c r="C8" s="91"/>
      <c r="D8" s="92"/>
      <c r="E8" s="85" t="s">
        <v>101</v>
      </c>
      <c r="F8" s="86" t="s">
        <v>102</v>
      </c>
      <c r="G8" s="86" t="s">
        <v>103</v>
      </c>
      <c r="H8" s="87" t="s">
        <v>104</v>
      </c>
      <c r="I8" s="87" t="s">
        <v>105</v>
      </c>
      <c r="J8" s="87" t="s">
        <v>106</v>
      </c>
      <c r="K8" s="87" t="s">
        <v>107</v>
      </c>
      <c r="L8" s="89" t="s">
        <v>108</v>
      </c>
    </row>
    <row r="9" spans="1:12" s="83" customFormat="1" ht="12.75" customHeight="1">
      <c r="A9" s="84" t="s">
        <v>0</v>
      </c>
      <c r="B9" s="302" t="s">
        <v>109</v>
      </c>
      <c r="C9" s="303"/>
      <c r="D9" s="304"/>
      <c r="E9" s="93"/>
      <c r="F9" s="94" t="s">
        <v>110</v>
      </c>
      <c r="G9" s="94"/>
      <c r="H9" s="87"/>
      <c r="I9" s="87" t="s">
        <v>111</v>
      </c>
      <c r="J9" s="87" t="s">
        <v>112</v>
      </c>
      <c r="K9" s="87" t="s">
        <v>113</v>
      </c>
      <c r="L9" s="89" t="s">
        <v>114</v>
      </c>
    </row>
    <row r="10" spans="1:12" s="83" customFormat="1" ht="12.75">
      <c r="A10" s="84"/>
      <c r="B10" s="95"/>
      <c r="C10" s="96"/>
      <c r="D10" s="97"/>
      <c r="E10" s="84"/>
      <c r="F10" s="86" t="s">
        <v>115</v>
      </c>
      <c r="G10" s="98" t="s">
        <v>116</v>
      </c>
      <c r="H10" s="98" t="s">
        <v>117</v>
      </c>
      <c r="I10" s="87" t="s">
        <v>118</v>
      </c>
      <c r="J10" s="99" t="s">
        <v>117</v>
      </c>
      <c r="K10" s="100" t="s">
        <v>102</v>
      </c>
      <c r="L10" s="101" t="s">
        <v>119</v>
      </c>
    </row>
    <row r="11" spans="1:12" s="105" customFormat="1" ht="13.5" thickBot="1">
      <c r="A11" s="102" t="s">
        <v>120</v>
      </c>
      <c r="B11" s="286" t="s">
        <v>121</v>
      </c>
      <c r="C11" s="287"/>
      <c r="D11" s="288"/>
      <c r="E11" s="102" t="s">
        <v>122</v>
      </c>
      <c r="F11" s="102" t="s">
        <v>123</v>
      </c>
      <c r="G11" s="102" t="s">
        <v>124</v>
      </c>
      <c r="H11" s="102" t="s">
        <v>125</v>
      </c>
      <c r="I11" s="103" t="s">
        <v>126</v>
      </c>
      <c r="J11" s="104" t="s">
        <v>127</v>
      </c>
      <c r="K11" s="104" t="s">
        <v>128</v>
      </c>
      <c r="L11" s="104" t="s">
        <v>129</v>
      </c>
    </row>
    <row r="12" spans="1:12" s="70" customFormat="1" ht="13.5" customHeight="1">
      <c r="A12" s="289" t="s">
        <v>120</v>
      </c>
      <c r="B12" s="291" t="s">
        <v>130</v>
      </c>
      <c r="C12" s="292"/>
      <c r="D12" s="292"/>
      <c r="E12" s="77" t="s">
        <v>88</v>
      </c>
      <c r="F12" s="106"/>
      <c r="G12" s="107"/>
      <c r="H12" s="107"/>
      <c r="I12" s="107"/>
      <c r="J12" s="106"/>
      <c r="K12" s="106"/>
      <c r="L12" s="108"/>
    </row>
    <row r="13" spans="1:12" s="70" customFormat="1" ht="13.5" customHeight="1">
      <c r="A13" s="290"/>
      <c r="B13" s="293" t="s">
        <v>131</v>
      </c>
      <c r="C13" s="294"/>
      <c r="D13" s="294"/>
      <c r="E13" s="109" t="s">
        <v>132</v>
      </c>
      <c r="F13" s="110">
        <v>3733.2</v>
      </c>
      <c r="G13" s="110"/>
      <c r="H13" s="110"/>
      <c r="I13" s="111">
        <f>IF(F13&lt;&gt;0,ROUND(H13/F13,2),)</f>
        <v>0</v>
      </c>
      <c r="J13" s="110">
        <v>3733.2</v>
      </c>
      <c r="K13" s="112">
        <f>IF(F13&lt;&gt;0,ROUND(J13/F13,2),)</f>
        <v>1</v>
      </c>
      <c r="L13" s="111">
        <f>IF(H13&lt;&gt;0,ROUND(J13/H13,2),)</f>
        <v>0</v>
      </c>
    </row>
    <row r="14" spans="1:12" s="70" customFormat="1" ht="13.5" customHeight="1">
      <c r="A14" s="11" t="s">
        <v>121</v>
      </c>
      <c r="B14" s="256" t="s">
        <v>133</v>
      </c>
      <c r="C14" s="256"/>
      <c r="D14" s="256"/>
      <c r="E14" s="109" t="s">
        <v>132</v>
      </c>
      <c r="F14" s="113">
        <v>1015.4</v>
      </c>
      <c r="G14" s="113"/>
      <c r="H14" s="113"/>
      <c r="I14" s="111">
        <f>IF(F14&lt;&gt;0,ROUND(H14/F14,2),)</f>
        <v>0</v>
      </c>
      <c r="J14" s="113">
        <v>1015.4</v>
      </c>
      <c r="K14" s="112">
        <f>IF(F14&lt;&gt;0,ROUND(J14/F14,2),)</f>
        <v>1</v>
      </c>
      <c r="L14" s="111">
        <f>IF(H14&lt;&gt;0,ROUND(J14/H14,2),)</f>
        <v>0</v>
      </c>
    </row>
    <row r="15" spans="1:12" s="70" customFormat="1" ht="16.5" customHeight="1">
      <c r="A15" s="11" t="s">
        <v>122</v>
      </c>
      <c r="B15" s="295" t="s">
        <v>134</v>
      </c>
      <c r="C15" s="295"/>
      <c r="D15" s="295"/>
      <c r="E15" s="114" t="s">
        <v>132</v>
      </c>
      <c r="F15" s="115">
        <f>ROUND(F16+F19+F20+F23,1)</f>
        <v>12565.3</v>
      </c>
      <c r="G15" s="115">
        <f>ROUND(G16+G19+G20+G23,1)</f>
        <v>0</v>
      </c>
      <c r="H15" s="115">
        <f>ROUND(H16+H19+H20+H23,1)</f>
        <v>0</v>
      </c>
      <c r="I15" s="111">
        <f>IF(F15&lt;&gt;0,ROUND(H15/F15,2),)</f>
        <v>0</v>
      </c>
      <c r="J15" s="115">
        <f>ROUND(J16+J19+J20+J23,1)</f>
        <v>12565.3</v>
      </c>
      <c r="K15" s="112">
        <f>IF(F15&lt;&gt;0,ROUND(J15/F15,2),)</f>
        <v>1</v>
      </c>
      <c r="L15" s="111">
        <f>IF(H15&lt;&gt;0,ROUND(J15/H15,2),)</f>
        <v>0</v>
      </c>
    </row>
    <row r="16" spans="1:12" s="121" customFormat="1" ht="13.5" customHeight="1">
      <c r="A16" s="116" t="s">
        <v>135</v>
      </c>
      <c r="B16" s="283" t="s">
        <v>136</v>
      </c>
      <c r="C16" s="284"/>
      <c r="D16" s="285"/>
      <c r="E16" s="117" t="s">
        <v>132</v>
      </c>
      <c r="F16" s="118">
        <v>1899.6</v>
      </c>
      <c r="G16" s="118"/>
      <c r="H16" s="118"/>
      <c r="I16" s="119">
        <f>IF(F16&lt;&gt;0,ROUND(H16/F16,2),)</f>
        <v>0</v>
      </c>
      <c r="J16" s="118">
        <v>1899.6</v>
      </c>
      <c r="K16" s="120">
        <f>IF(F16&lt;&gt;0,ROUND(J16/F16,2),)</f>
        <v>1</v>
      </c>
      <c r="L16" s="119">
        <f>IF(H16&lt;&gt;0,ROUND(J16/H16,2),)</f>
        <v>0</v>
      </c>
    </row>
    <row r="17" spans="1:12" s="70" customFormat="1" ht="13.5" customHeight="1">
      <c r="A17" s="122"/>
      <c r="B17" s="268" t="s">
        <v>137</v>
      </c>
      <c r="C17" s="269"/>
      <c r="D17" s="270"/>
      <c r="E17" s="123"/>
      <c r="F17" s="124"/>
      <c r="G17" s="125"/>
      <c r="H17" s="125"/>
      <c r="I17" s="126"/>
      <c r="J17" s="124"/>
      <c r="K17" s="124"/>
      <c r="L17" s="127"/>
    </row>
    <row r="18" spans="1:12" s="121" customFormat="1" ht="13.5" customHeight="1">
      <c r="A18" s="128"/>
      <c r="B18" s="271" t="s">
        <v>138</v>
      </c>
      <c r="C18" s="272"/>
      <c r="D18" s="279"/>
      <c r="E18" s="129"/>
      <c r="F18" s="130"/>
      <c r="G18" s="131"/>
      <c r="H18" s="131"/>
      <c r="I18" s="132"/>
      <c r="J18" s="130"/>
      <c r="K18" s="130"/>
      <c r="L18" s="133"/>
    </row>
    <row r="19" spans="1:12" s="70" customFormat="1" ht="13.5" customHeight="1">
      <c r="A19" s="81" t="s">
        <v>139</v>
      </c>
      <c r="B19" s="280" t="s">
        <v>140</v>
      </c>
      <c r="C19" s="281"/>
      <c r="D19" s="282"/>
      <c r="E19" s="134" t="s">
        <v>132</v>
      </c>
      <c r="F19" s="135">
        <v>6523.6</v>
      </c>
      <c r="G19" s="135"/>
      <c r="H19" s="135"/>
      <c r="I19" s="136">
        <f>IF(F19&lt;&gt;0,ROUND(H19/F19,2),)</f>
        <v>0</v>
      </c>
      <c r="J19" s="135">
        <v>6523.6</v>
      </c>
      <c r="K19" s="137">
        <f>IF(F19&lt;&gt;0,ROUND(J19/F19,2),)</f>
        <v>1</v>
      </c>
      <c r="L19" s="111">
        <f>IF(H19&lt;&gt;0,ROUND(J19/H19,2),)</f>
        <v>0</v>
      </c>
    </row>
    <row r="20" spans="1:12" s="142" customFormat="1" ht="13.5" customHeight="1">
      <c r="A20" s="138" t="s">
        <v>141</v>
      </c>
      <c r="B20" s="283" t="s">
        <v>142</v>
      </c>
      <c r="C20" s="284"/>
      <c r="D20" s="285"/>
      <c r="E20" s="117" t="s">
        <v>132</v>
      </c>
      <c r="F20" s="139">
        <v>2984.3</v>
      </c>
      <c r="G20" s="139"/>
      <c r="H20" s="139"/>
      <c r="I20" s="140">
        <f>IF(F20&lt;&gt;0,ROUND(H20/F20,2),)</f>
        <v>0</v>
      </c>
      <c r="J20" s="139">
        <v>2984.3</v>
      </c>
      <c r="K20" s="141">
        <f>IF(F20&lt;&gt;0,ROUND(J20/F20,2),)</f>
        <v>1</v>
      </c>
      <c r="L20" s="119">
        <f>IF(H20&lt;&gt;0,ROUND(J20/H20,2),)</f>
        <v>0</v>
      </c>
    </row>
    <row r="21" spans="1:12" s="70" customFormat="1" ht="13.5" customHeight="1">
      <c r="A21" s="143"/>
      <c r="B21" s="268" t="s">
        <v>143</v>
      </c>
      <c r="C21" s="269"/>
      <c r="D21" s="269"/>
      <c r="E21" s="144"/>
      <c r="F21" s="145"/>
      <c r="G21" s="146"/>
      <c r="H21" s="145"/>
      <c r="I21" s="147"/>
      <c r="J21" s="145"/>
      <c r="K21" s="145"/>
      <c r="L21" s="127"/>
    </row>
    <row r="22" spans="1:12" s="70" customFormat="1" ht="13.5" customHeight="1">
      <c r="A22" s="148"/>
      <c r="B22" s="271" t="s">
        <v>144</v>
      </c>
      <c r="C22" s="272"/>
      <c r="D22" s="279"/>
      <c r="E22" s="129"/>
      <c r="F22" s="149"/>
      <c r="G22" s="149"/>
      <c r="H22" s="149"/>
      <c r="I22" s="150"/>
      <c r="J22" s="149"/>
      <c r="K22" s="149"/>
      <c r="L22" s="133"/>
    </row>
    <row r="23" spans="1:12" s="70" customFormat="1" ht="13.5" customHeight="1">
      <c r="A23" s="148" t="s">
        <v>145</v>
      </c>
      <c r="B23" s="280" t="s">
        <v>146</v>
      </c>
      <c r="C23" s="281"/>
      <c r="D23" s="282"/>
      <c r="E23" s="114" t="s">
        <v>132</v>
      </c>
      <c r="F23" s="151">
        <v>1157.8</v>
      </c>
      <c r="G23" s="152"/>
      <c r="H23" s="152"/>
      <c r="I23" s="136">
        <f>IF(F23&lt;&gt;0,ROUND(H23/F23,2),)</f>
        <v>0</v>
      </c>
      <c r="J23" s="151">
        <v>1157.8</v>
      </c>
      <c r="K23" s="137">
        <f>IF(F23&lt;&gt;0,ROUND(J23/F23,2),)</f>
        <v>1</v>
      </c>
      <c r="L23" s="111">
        <f>IF(H23&lt;&gt;0,ROUND(J23/H23,2),)</f>
        <v>0</v>
      </c>
    </row>
    <row r="24" spans="1:12" s="70" customFormat="1" ht="13.5" customHeight="1">
      <c r="A24" s="148" t="s">
        <v>123</v>
      </c>
      <c r="B24" s="280" t="s">
        <v>147</v>
      </c>
      <c r="C24" s="281"/>
      <c r="D24" s="282"/>
      <c r="E24" s="114" t="s">
        <v>132</v>
      </c>
      <c r="F24" s="153">
        <f>ROUND(F13+F14+F15,1)</f>
        <v>17313.9</v>
      </c>
      <c r="G24" s="153">
        <f>ROUND(G13+G14+G15,1)</f>
        <v>0</v>
      </c>
      <c r="H24" s="153">
        <f>ROUND(H13+H14+H15,1)</f>
        <v>0</v>
      </c>
      <c r="I24" s="136">
        <f>IF(F24&lt;&gt;0,ROUND(H24/F24,2),)</f>
        <v>0</v>
      </c>
      <c r="J24" s="153">
        <f>ROUND(J13+J14+J15,1)</f>
        <v>17313.9</v>
      </c>
      <c r="K24" s="137">
        <f>IF(F24&lt;&gt;0,ROUND(J24/F24,2),)</f>
        <v>1</v>
      </c>
      <c r="L24" s="111">
        <f>IF(H24&lt;&gt;0,ROUND(J24/H24,2),)</f>
        <v>0</v>
      </c>
    </row>
    <row r="25" spans="1:12" s="70" customFormat="1" ht="13.5" customHeight="1">
      <c r="A25" s="154" t="s">
        <v>124</v>
      </c>
      <c r="B25" s="283" t="s">
        <v>148</v>
      </c>
      <c r="C25" s="284"/>
      <c r="D25" s="285"/>
      <c r="E25" s="77" t="s">
        <v>28</v>
      </c>
      <c r="F25" s="155">
        <v>5.2</v>
      </c>
      <c r="G25" s="156"/>
      <c r="H25" s="156"/>
      <c r="I25" s="126"/>
      <c r="J25" s="155">
        <v>5.2</v>
      </c>
      <c r="K25" s="157"/>
      <c r="L25" s="158"/>
    </row>
    <row r="26" spans="1:12" s="70" customFormat="1" ht="13.5" customHeight="1">
      <c r="A26" s="143"/>
      <c r="B26" s="268" t="s">
        <v>149</v>
      </c>
      <c r="C26" s="269"/>
      <c r="D26" s="270"/>
      <c r="E26" s="159"/>
      <c r="F26" s="125"/>
      <c r="G26" s="160"/>
      <c r="H26" s="161">
        <v>0</v>
      </c>
      <c r="I26" s="126"/>
      <c r="J26" s="125"/>
      <c r="K26" s="125"/>
      <c r="L26" s="126"/>
    </row>
    <row r="27" spans="1:12" s="70" customFormat="1" ht="13.5" customHeight="1">
      <c r="A27" s="162"/>
      <c r="B27" s="271" t="s">
        <v>150</v>
      </c>
      <c r="C27" s="272"/>
      <c r="D27" s="279"/>
      <c r="E27" s="163"/>
      <c r="F27" s="131"/>
      <c r="G27" s="164"/>
      <c r="H27" s="165"/>
      <c r="I27" s="132"/>
      <c r="J27" s="131"/>
      <c r="K27" s="131"/>
      <c r="L27" s="132"/>
    </row>
    <row r="28" spans="1:12" s="70" customFormat="1" ht="13.5" customHeight="1">
      <c r="A28" s="154" t="s">
        <v>125</v>
      </c>
      <c r="B28" s="268" t="s">
        <v>151</v>
      </c>
      <c r="C28" s="269"/>
      <c r="D28" s="270"/>
      <c r="E28" s="84" t="s">
        <v>132</v>
      </c>
      <c r="F28" s="166">
        <f>F24*F25/100</f>
        <v>900.3228000000001</v>
      </c>
      <c r="G28" s="166">
        <f>G24*G25/100</f>
        <v>0</v>
      </c>
      <c r="H28" s="166">
        <f>H24*H25/100</f>
        <v>0</v>
      </c>
      <c r="I28" s="140">
        <f>IF(F28&lt;&gt;0,ROUND(H28/F28,2),)</f>
        <v>0</v>
      </c>
      <c r="J28" s="166">
        <f>J24*J25/100</f>
        <v>900.3228000000001</v>
      </c>
      <c r="K28" s="141">
        <f>IF(F28&lt;&gt;0,ROUND(J28/F28,2),)</f>
        <v>1</v>
      </c>
      <c r="L28" s="119">
        <f>IF(H28&lt;&gt;0,ROUND(J28/H28,2),)</f>
        <v>0</v>
      </c>
    </row>
    <row r="29" spans="1:12" s="70" customFormat="1" ht="13.5" customHeight="1">
      <c r="A29" s="162"/>
      <c r="B29" s="271" t="s">
        <v>152</v>
      </c>
      <c r="C29" s="272"/>
      <c r="D29" s="272"/>
      <c r="E29" s="163"/>
      <c r="F29" s="131"/>
      <c r="G29" s="164"/>
      <c r="H29" s="165"/>
      <c r="I29" s="132">
        <f>IF(F29&lt;&gt;0,ROUND(H29/F29,2),)</f>
        <v>0</v>
      </c>
      <c r="J29" s="131"/>
      <c r="K29" s="131"/>
      <c r="L29" s="132"/>
    </row>
    <row r="30" spans="1:12" s="70" customFormat="1" ht="13.5" customHeight="1">
      <c r="A30" s="167" t="s">
        <v>126</v>
      </c>
      <c r="B30" s="256" t="s">
        <v>153</v>
      </c>
      <c r="C30" s="256"/>
      <c r="D30" s="256"/>
      <c r="E30" s="109" t="s">
        <v>132</v>
      </c>
      <c r="F30" s="113">
        <v>48.4</v>
      </c>
      <c r="G30" s="113"/>
      <c r="H30" s="113"/>
      <c r="I30" s="136">
        <f>IF(F30&lt;&gt;0,ROUND(H30/F30,2),)</f>
        <v>0</v>
      </c>
      <c r="J30" s="113">
        <v>48.4</v>
      </c>
      <c r="K30" s="137">
        <f>IF(F30&lt;&gt;0,ROUND(J30/F30,2),)</f>
        <v>1</v>
      </c>
      <c r="L30" s="111">
        <f>IF(H30&lt;&gt;0,ROUND(J30/H30,2),)</f>
        <v>0</v>
      </c>
    </row>
    <row r="31" spans="1:12" s="70" customFormat="1" ht="5.25" customHeight="1" hidden="1">
      <c r="A31" s="114" t="s">
        <v>88</v>
      </c>
      <c r="B31" s="273"/>
      <c r="C31" s="273"/>
      <c r="D31" s="273"/>
      <c r="E31" s="114"/>
      <c r="F31" s="168"/>
      <c r="G31" s="168"/>
      <c r="H31" s="168"/>
      <c r="I31" s="169">
        <f>IF(F31&lt;&gt;0,ROUND(H31/F31,2),)</f>
        <v>0</v>
      </c>
      <c r="J31" s="168"/>
      <c r="K31" s="115">
        <f>IF(F31&lt;&gt;0,ROUND(J31/F31,2),)</f>
        <v>0</v>
      </c>
      <c r="L31" s="111">
        <f>IF(H31&lt;&gt;0,ROUND(J31/H31,2),)</f>
        <v>0</v>
      </c>
    </row>
    <row r="32" spans="1:12" s="142" customFormat="1" ht="13.5" customHeight="1">
      <c r="A32" s="138" t="s">
        <v>127</v>
      </c>
      <c r="B32" s="274" t="s">
        <v>154</v>
      </c>
      <c r="C32" s="275"/>
      <c r="D32" s="276"/>
      <c r="E32" s="117" t="s">
        <v>132</v>
      </c>
      <c r="F32" s="170">
        <f>F28+F30</f>
        <v>948.7228000000001</v>
      </c>
      <c r="G32" s="170">
        <f>G28+G30</f>
        <v>0</v>
      </c>
      <c r="H32" s="170">
        <f>H28+H30</f>
        <v>0</v>
      </c>
      <c r="I32" s="140">
        <f>IF(F32&lt;&gt;0,ROUND(H32/F32,2),)</f>
        <v>0</v>
      </c>
      <c r="J32" s="170">
        <f>J28+J30</f>
        <v>948.7228000000001</v>
      </c>
      <c r="K32" s="141">
        <f>IF(F32&lt;&gt;0,ROUND(J32/F32,2),)</f>
        <v>1</v>
      </c>
      <c r="L32" s="119">
        <f>IF(H32&lt;&gt;0,ROUND(J32/H32,2),)</f>
        <v>0</v>
      </c>
    </row>
    <row r="33" spans="1:12" s="70" customFormat="1" ht="15" customHeight="1">
      <c r="A33" s="162"/>
      <c r="B33" s="277" t="s">
        <v>155</v>
      </c>
      <c r="C33" s="278"/>
      <c r="D33" s="278"/>
      <c r="E33" s="171"/>
      <c r="F33" s="172"/>
      <c r="G33" s="173"/>
      <c r="H33" s="174"/>
      <c r="I33" s="175"/>
      <c r="J33" s="172"/>
      <c r="K33" s="172"/>
      <c r="L33" s="176"/>
    </row>
    <row r="34" spans="1:12" s="70" customFormat="1" ht="15.75" customHeight="1">
      <c r="A34" s="167" t="s">
        <v>128</v>
      </c>
      <c r="B34" s="266" t="s">
        <v>156</v>
      </c>
      <c r="C34" s="266"/>
      <c r="D34" s="266"/>
      <c r="E34" s="114" t="s">
        <v>28</v>
      </c>
      <c r="F34" s="113">
        <v>10</v>
      </c>
      <c r="G34" s="113"/>
      <c r="H34" s="113"/>
      <c r="I34" s="136">
        <f aca="true" t="shared" si="0" ref="I34:I41">IF(F34&lt;&gt;0,ROUND(H34/F34,2),)</f>
        <v>0</v>
      </c>
      <c r="J34" s="113">
        <v>10</v>
      </c>
      <c r="K34" s="137">
        <f aca="true" t="shared" si="1" ref="K34:K41">IF(F34&lt;&gt;0,ROUND(J34/F34,2),)</f>
        <v>1</v>
      </c>
      <c r="L34" s="111">
        <f aca="true" t="shared" si="2" ref="L34:L41">IF(H34&lt;&gt;0,ROUND(J34/H34,2),)</f>
        <v>0</v>
      </c>
    </row>
    <row r="35" spans="1:12" s="70" customFormat="1" ht="15.75" customHeight="1">
      <c r="A35" s="167" t="s">
        <v>129</v>
      </c>
      <c r="B35" s="266" t="s">
        <v>157</v>
      </c>
      <c r="C35" s="266"/>
      <c r="D35" s="266"/>
      <c r="E35" s="109" t="s">
        <v>132</v>
      </c>
      <c r="F35" s="177">
        <f>F32*F34/100</f>
        <v>94.87228</v>
      </c>
      <c r="G35" s="136">
        <f>G36-G32</f>
        <v>0</v>
      </c>
      <c r="H35" s="113"/>
      <c r="I35" s="136">
        <f t="shared" si="0"/>
        <v>0</v>
      </c>
      <c r="J35" s="177">
        <f>J32*J34/100</f>
        <v>94.87228</v>
      </c>
      <c r="K35" s="137">
        <f t="shared" si="1"/>
        <v>1</v>
      </c>
      <c r="L35" s="111">
        <f t="shared" si="2"/>
        <v>0</v>
      </c>
    </row>
    <row r="36" spans="1:12" s="70" customFormat="1" ht="15">
      <c r="A36" s="167" t="s">
        <v>158</v>
      </c>
      <c r="B36" s="256" t="s">
        <v>159</v>
      </c>
      <c r="C36" s="256"/>
      <c r="D36" s="256"/>
      <c r="E36" s="109" t="s">
        <v>132</v>
      </c>
      <c r="F36" s="136">
        <f>F32+F35</f>
        <v>1043.59508</v>
      </c>
      <c r="G36" s="137">
        <f>ROUND(G38*G40/1000,2)</f>
        <v>0</v>
      </c>
      <c r="H36" s="136">
        <f>H32+H35</f>
        <v>0</v>
      </c>
      <c r="I36" s="136">
        <f t="shared" si="0"/>
        <v>0</v>
      </c>
      <c r="J36" s="136">
        <f>J32+J35</f>
        <v>1043.59508</v>
      </c>
      <c r="K36" s="137">
        <f t="shared" si="1"/>
        <v>1</v>
      </c>
      <c r="L36" s="111">
        <f t="shared" si="2"/>
        <v>0</v>
      </c>
    </row>
    <row r="37" spans="1:12" s="70" customFormat="1" ht="15">
      <c r="A37" s="167" t="s">
        <v>160</v>
      </c>
      <c r="B37" s="256" t="s">
        <v>44</v>
      </c>
      <c r="C37" s="256"/>
      <c r="D37" s="256"/>
      <c r="E37" s="109" t="s">
        <v>45</v>
      </c>
      <c r="F37" s="113">
        <v>208.9</v>
      </c>
      <c r="G37" s="113"/>
      <c r="H37" s="113"/>
      <c r="I37" s="136">
        <f t="shared" si="0"/>
        <v>0</v>
      </c>
      <c r="J37" s="113">
        <v>208.9</v>
      </c>
      <c r="K37" s="137">
        <f t="shared" si="1"/>
        <v>1</v>
      </c>
      <c r="L37" s="111">
        <f t="shared" si="2"/>
        <v>0</v>
      </c>
    </row>
    <row r="38" spans="1:12" s="70" customFormat="1" ht="15">
      <c r="A38" s="167" t="s">
        <v>161</v>
      </c>
      <c r="B38" s="267" t="s">
        <v>162</v>
      </c>
      <c r="C38" s="267"/>
      <c r="D38" s="267"/>
      <c r="E38" s="109" t="s">
        <v>163</v>
      </c>
      <c r="F38" s="178">
        <f>IF(F37&lt;&gt;0,ROUND(F36*1000/F37/12,2),)</f>
        <v>416.31</v>
      </c>
      <c r="G38" s="178"/>
      <c r="H38" s="178">
        <f>IF(H37&lt;&gt;0,ROUND(H36*1000/H37/12,2),)</f>
        <v>0</v>
      </c>
      <c r="I38" s="136"/>
      <c r="J38" s="178">
        <f>IF(J37&lt;&gt;0,ROUND(J36*1000/J37/12,2),)</f>
        <v>416.31</v>
      </c>
      <c r="K38" s="137">
        <f t="shared" si="1"/>
        <v>1</v>
      </c>
      <c r="L38" s="111">
        <f t="shared" si="2"/>
        <v>0</v>
      </c>
    </row>
    <row r="39" spans="1:12" s="70" customFormat="1" ht="15">
      <c r="A39" s="167" t="s">
        <v>164</v>
      </c>
      <c r="B39" s="256" t="s">
        <v>48</v>
      </c>
      <c r="C39" s="256"/>
      <c r="D39" s="256"/>
      <c r="E39" s="109" t="s">
        <v>132</v>
      </c>
      <c r="F39" s="113">
        <v>987.7</v>
      </c>
      <c r="G39" s="137">
        <f>ROUND(G41*G40/1000,2)</f>
        <v>0</v>
      </c>
      <c r="H39" s="113"/>
      <c r="I39" s="136">
        <f t="shared" si="0"/>
        <v>0</v>
      </c>
      <c r="J39" s="113">
        <v>775.21</v>
      </c>
      <c r="K39" s="137">
        <f t="shared" si="1"/>
        <v>0.78</v>
      </c>
      <c r="L39" s="111">
        <f t="shared" si="2"/>
        <v>0</v>
      </c>
    </row>
    <row r="40" spans="1:12" s="70" customFormat="1" ht="15.75" customHeight="1">
      <c r="A40" s="167" t="s">
        <v>165</v>
      </c>
      <c r="B40" s="256" t="s">
        <v>49</v>
      </c>
      <c r="C40" s="256"/>
      <c r="D40" s="256"/>
      <c r="E40" s="109" t="s">
        <v>166</v>
      </c>
      <c r="F40" s="113">
        <v>22907</v>
      </c>
      <c r="G40" s="113"/>
      <c r="H40" s="113"/>
      <c r="I40" s="136">
        <f t="shared" si="0"/>
        <v>0</v>
      </c>
      <c r="J40" s="113">
        <v>22907</v>
      </c>
      <c r="K40" s="137">
        <f t="shared" si="1"/>
        <v>1</v>
      </c>
      <c r="L40" s="111">
        <f t="shared" si="2"/>
        <v>0</v>
      </c>
    </row>
    <row r="41" spans="1:12" s="142" customFormat="1" ht="17.25" customHeight="1">
      <c r="A41" s="11" t="s">
        <v>167</v>
      </c>
      <c r="B41" s="257" t="s">
        <v>51</v>
      </c>
      <c r="C41" s="257"/>
      <c r="D41" s="257"/>
      <c r="E41" s="109" t="s">
        <v>52</v>
      </c>
      <c r="F41" s="178">
        <f>IF(F40&lt;&gt;0,ROUND(F39*1000/F40,2),)</f>
        <v>43.12</v>
      </c>
      <c r="G41" s="178"/>
      <c r="H41" s="178">
        <f>IF(H40&lt;&gt;0,ROUND(H39*1000/H40,2),)</f>
        <v>0</v>
      </c>
      <c r="I41" s="136">
        <f t="shared" si="0"/>
        <v>0</v>
      </c>
      <c r="J41" s="178">
        <f>IF(J40&lt;&gt;0,ROUND(J39*1000/J40,2),)</f>
        <v>33.84</v>
      </c>
      <c r="K41" s="137">
        <f t="shared" si="1"/>
        <v>0.78</v>
      </c>
      <c r="L41" s="111">
        <f t="shared" si="2"/>
        <v>0</v>
      </c>
    </row>
    <row r="42" spans="1:12" ht="15">
      <c r="A42" s="263" t="s">
        <v>38</v>
      </c>
      <c r="B42" s="264"/>
      <c r="C42" s="264"/>
      <c r="D42" s="179"/>
      <c r="E42" s="179"/>
      <c r="F42" s="180"/>
      <c r="G42" s="180"/>
      <c r="H42" s="180"/>
      <c r="I42" s="181"/>
      <c r="J42" s="180"/>
      <c r="K42" s="180"/>
      <c r="L42" s="182"/>
    </row>
    <row r="43" spans="1:12" ht="15">
      <c r="A43" s="265" t="s">
        <v>168</v>
      </c>
      <c r="B43" s="265"/>
      <c r="C43" s="265"/>
      <c r="D43" s="265"/>
      <c r="E43" s="9" t="s">
        <v>40</v>
      </c>
      <c r="F43" s="151">
        <v>452000</v>
      </c>
      <c r="G43" s="151"/>
      <c r="H43" s="151"/>
      <c r="I43" s="111">
        <f>IF(F43&lt;&gt;0,ROUND(H43/F43,2),)</f>
        <v>0</v>
      </c>
      <c r="J43" s="151">
        <v>452000</v>
      </c>
      <c r="K43" s="112">
        <f>IF(F43&lt;&gt;0,ROUND(J43/F43,2),)</f>
        <v>1</v>
      </c>
      <c r="L43" s="111">
        <f>IF(H43&lt;&gt;0,ROUND(J43/H43,2),)</f>
        <v>0</v>
      </c>
    </row>
    <row r="44" spans="1:12" ht="15">
      <c r="A44" s="265" t="s">
        <v>169</v>
      </c>
      <c r="B44" s="265"/>
      <c r="C44" s="265"/>
      <c r="D44" s="265"/>
      <c r="E44" s="9" t="s">
        <v>40</v>
      </c>
      <c r="F44" s="183">
        <f>F40+F45</f>
        <v>23495</v>
      </c>
      <c r="G44" s="151"/>
      <c r="H44" s="151"/>
      <c r="I44" s="111">
        <f>IF(F44&lt;&gt;0,ROUND(H44/F44,2),)</f>
        <v>0</v>
      </c>
      <c r="J44" s="183">
        <f>J40+J45</f>
        <v>23495</v>
      </c>
      <c r="K44" s="112">
        <f>IF(F44&lt;&gt;0,ROUND(J44/F44,2),)</f>
        <v>1</v>
      </c>
      <c r="L44" s="111">
        <f>IF(H44&lt;&gt;0,ROUND(J44/H44,2),)</f>
        <v>0</v>
      </c>
    </row>
    <row r="45" spans="1:12" ht="15">
      <c r="A45" s="265" t="s">
        <v>170</v>
      </c>
      <c r="B45" s="265"/>
      <c r="C45" s="265"/>
      <c r="D45" s="265"/>
      <c r="E45" s="9" t="s">
        <v>40</v>
      </c>
      <c r="F45" s="151">
        <v>588</v>
      </c>
      <c r="G45" s="151"/>
      <c r="H45" s="151"/>
      <c r="I45" s="184">
        <f>IF(F45&lt;&gt;0,ROUND(H45/F45,2),)</f>
        <v>0</v>
      </c>
      <c r="J45" s="151">
        <v>588</v>
      </c>
      <c r="K45" s="112">
        <f>IF(F45&lt;&gt;0,ROUND(J45/F45,2),)</f>
        <v>1</v>
      </c>
      <c r="L45" s="111">
        <f>IF(H45&lt;&gt;0,ROUND(J45/H45,2),)</f>
        <v>0</v>
      </c>
    </row>
    <row r="46" spans="1:12" ht="15">
      <c r="A46" s="66" t="s">
        <v>55</v>
      </c>
      <c r="B46" s="185"/>
      <c r="C46" s="185"/>
      <c r="D46" s="67"/>
      <c r="E46" s="9" t="s">
        <v>28</v>
      </c>
      <c r="F46" s="151">
        <v>2.5</v>
      </c>
      <c r="G46" s="151"/>
      <c r="H46" s="151"/>
      <c r="I46" s="186"/>
      <c r="J46" s="151">
        <v>2.5</v>
      </c>
      <c r="K46" s="112">
        <f>IF(F46&lt;&gt;0,ROUND(J46/F46,2),)</f>
        <v>1</v>
      </c>
      <c r="L46" s="111">
        <f>IF(H46&lt;&gt;0,ROUND(J46/H46,2),)</f>
        <v>0</v>
      </c>
    </row>
    <row r="47" spans="1:12" ht="15">
      <c r="A47" s="258" t="s">
        <v>171</v>
      </c>
      <c r="B47" s="259"/>
      <c r="C47" s="259"/>
      <c r="D47" s="260"/>
      <c r="E47" s="187" t="s">
        <v>52</v>
      </c>
      <c r="F47" s="188">
        <f>IF(F40&lt;&gt;0,ROUND((F36+F39)*1000/F40,2),)</f>
        <v>88.68</v>
      </c>
      <c r="G47" s="189"/>
      <c r="H47" s="188">
        <f>IF(H40&lt;&gt;0,ROUND((H36+H39)*1000/H40,1),)</f>
        <v>0</v>
      </c>
      <c r="I47" s="111">
        <f>IF(F47&lt;&gt;0,ROUND(H47/F47,2),)</f>
        <v>0</v>
      </c>
      <c r="J47" s="188">
        <f>IF(J40&lt;&gt;0,ROUND((J36+J39)*1000/J40,2),)</f>
        <v>79.4</v>
      </c>
      <c r="K47" s="112">
        <f>IF(F47&lt;&gt;0,ROUND(J47/F47,2),)</f>
        <v>0.9</v>
      </c>
      <c r="L47" s="111">
        <f>IF(H47&lt;&gt;0,ROUND(J47/H47,2),)</f>
        <v>0</v>
      </c>
    </row>
    <row r="48" spans="2:4" ht="12.75">
      <c r="B48" s="261"/>
      <c r="C48" s="261"/>
      <c r="D48" s="261"/>
    </row>
    <row r="49" spans="2:8" ht="12.75">
      <c r="B49" s="262"/>
      <c r="C49" s="262"/>
      <c r="D49" s="262"/>
      <c r="E49" s="262"/>
      <c r="F49" s="262"/>
      <c r="G49" s="262"/>
      <c r="H49" s="262"/>
    </row>
  </sheetData>
  <sheetProtection/>
  <mergeCells count="45">
    <mergeCell ref="D1:F1"/>
    <mergeCell ref="A2:I2"/>
    <mergeCell ref="B3:J3"/>
    <mergeCell ref="J6:L6"/>
    <mergeCell ref="B7:D7"/>
    <mergeCell ref="B9:D9"/>
    <mergeCell ref="B11:D11"/>
    <mergeCell ref="A12:A1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47:D47"/>
    <mergeCell ref="B48:D48"/>
    <mergeCell ref="B49:H49"/>
    <mergeCell ref="A42:C42"/>
    <mergeCell ref="A43:D43"/>
    <mergeCell ref="A44:D44"/>
    <mergeCell ref="A45:D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6">
      <selection activeCell="H48" sqref="H48"/>
    </sheetView>
  </sheetViews>
  <sheetFormatPr defaultColWidth="9.140625" defaultRowHeight="12.75"/>
  <cols>
    <col min="1" max="1" width="5.00390625" style="60" customWidth="1"/>
    <col min="4" max="4" width="16.140625" style="0" customWidth="1"/>
    <col min="5" max="5" width="9.421875" style="0" customWidth="1"/>
    <col min="6" max="6" width="11.140625" style="0" customWidth="1"/>
    <col min="7" max="7" width="8.00390625" style="0" customWidth="1"/>
    <col min="8" max="8" width="10.140625" style="0" customWidth="1"/>
    <col min="9" max="9" width="7.7109375" style="0" customWidth="1"/>
    <col min="10" max="10" width="10.421875" style="0" customWidth="1"/>
    <col min="11" max="12" width="7.7109375" style="0" customWidth="1"/>
    <col min="13" max="13" width="25.28125" style="190" customWidth="1"/>
  </cols>
  <sheetData>
    <row r="1" spans="1:9" ht="15.75">
      <c r="A1" s="1"/>
      <c r="B1" s="2"/>
      <c r="C1" s="2"/>
      <c r="D1" s="296" t="s">
        <v>82</v>
      </c>
      <c r="E1" s="296"/>
      <c r="F1" s="296"/>
      <c r="G1" s="68"/>
      <c r="H1" s="2"/>
      <c r="I1" s="2"/>
    </row>
    <row r="2" spans="1:13" s="70" customFormat="1" ht="17.25" customHeight="1">
      <c r="A2" s="297" t="s">
        <v>83</v>
      </c>
      <c r="B2" s="297"/>
      <c r="C2" s="297"/>
      <c r="D2" s="297"/>
      <c r="E2" s="297"/>
      <c r="F2" s="297"/>
      <c r="G2" s="297"/>
      <c r="H2" s="297"/>
      <c r="I2" s="297"/>
      <c r="M2" s="191"/>
    </row>
    <row r="3" spans="1:13" s="70" customFormat="1" ht="15.75">
      <c r="A3" s="71"/>
      <c r="B3" s="298" t="s">
        <v>84</v>
      </c>
      <c r="C3" s="298"/>
      <c r="D3" s="298"/>
      <c r="E3" s="298"/>
      <c r="F3" s="298"/>
      <c r="G3" s="298"/>
      <c r="H3" s="298"/>
      <c r="I3" s="298"/>
      <c r="J3" s="298"/>
      <c r="M3" s="191"/>
    </row>
    <row r="4" spans="1:13" s="70" customFormat="1" ht="15.75">
      <c r="A4" s="72"/>
      <c r="D4" s="69" t="s">
        <v>85</v>
      </c>
      <c r="E4" s="73" t="s">
        <v>172</v>
      </c>
      <c r="F4" s="69" t="s">
        <v>87</v>
      </c>
      <c r="G4" s="69"/>
      <c r="M4" s="191"/>
    </row>
    <row r="5" spans="1:13" s="70" customFormat="1" ht="12">
      <c r="A5" s="74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191"/>
    </row>
    <row r="6" spans="1:13" s="83" customFormat="1" ht="14.25">
      <c r="A6" s="77" t="s">
        <v>88</v>
      </c>
      <c r="B6" s="78" t="s">
        <v>88</v>
      </c>
      <c r="C6" s="79"/>
      <c r="D6" s="80"/>
      <c r="E6" s="77"/>
      <c r="F6" s="82"/>
      <c r="G6" s="82"/>
      <c r="H6" s="82" t="s">
        <v>89</v>
      </c>
      <c r="I6" s="82" t="s">
        <v>90</v>
      </c>
      <c r="J6" s="299" t="s">
        <v>91</v>
      </c>
      <c r="K6" s="300"/>
      <c r="L6" s="301"/>
      <c r="M6" s="192"/>
    </row>
    <row r="7" spans="1:13" s="83" customFormat="1" ht="12.75" customHeight="1">
      <c r="A7" s="84" t="s">
        <v>88</v>
      </c>
      <c r="B7" s="302" t="s">
        <v>92</v>
      </c>
      <c r="C7" s="303"/>
      <c r="D7" s="304"/>
      <c r="E7" s="85" t="s">
        <v>93</v>
      </c>
      <c r="F7" s="193" t="s">
        <v>94</v>
      </c>
      <c r="G7" s="86" t="s">
        <v>95</v>
      </c>
      <c r="H7" s="87" t="s">
        <v>96</v>
      </c>
      <c r="I7" s="87" t="s">
        <v>97</v>
      </c>
      <c r="J7" s="88"/>
      <c r="K7" s="82" t="s">
        <v>98</v>
      </c>
      <c r="L7" s="89" t="s">
        <v>99</v>
      </c>
      <c r="M7" s="192"/>
    </row>
    <row r="8" spans="1:13" s="83" customFormat="1" ht="15.75">
      <c r="A8" s="84" t="s">
        <v>100</v>
      </c>
      <c r="B8" s="90"/>
      <c r="C8" s="91"/>
      <c r="D8" s="92"/>
      <c r="E8" s="85" t="s">
        <v>101</v>
      </c>
      <c r="F8" s="193" t="s">
        <v>173</v>
      </c>
      <c r="G8" s="86"/>
      <c r="H8" s="87" t="s">
        <v>104</v>
      </c>
      <c r="I8" s="87" t="s">
        <v>174</v>
      </c>
      <c r="J8" s="87" t="s">
        <v>106</v>
      </c>
      <c r="K8" s="87" t="s">
        <v>107</v>
      </c>
      <c r="L8" s="89" t="s">
        <v>108</v>
      </c>
      <c r="M8" s="192"/>
    </row>
    <row r="9" spans="1:13" s="83" customFormat="1" ht="12.75" customHeight="1">
      <c r="A9" s="84" t="s">
        <v>0</v>
      </c>
      <c r="B9" s="302" t="s">
        <v>109</v>
      </c>
      <c r="C9" s="303"/>
      <c r="D9" s="304"/>
      <c r="E9" s="93"/>
      <c r="F9" s="194" t="s">
        <v>175</v>
      </c>
      <c r="G9" s="98" t="s">
        <v>117</v>
      </c>
      <c r="H9" s="87"/>
      <c r="I9" s="87" t="s">
        <v>176</v>
      </c>
      <c r="J9" s="87" t="s">
        <v>112</v>
      </c>
      <c r="K9" s="87" t="s">
        <v>113</v>
      </c>
      <c r="L9" s="89" t="s">
        <v>114</v>
      </c>
      <c r="M9" s="192"/>
    </row>
    <row r="10" spans="1:13" s="83" customFormat="1" ht="12.75">
      <c r="A10" s="84"/>
      <c r="B10" s="95"/>
      <c r="C10" s="96"/>
      <c r="D10" s="97"/>
      <c r="E10" s="84"/>
      <c r="F10" s="86"/>
      <c r="G10" s="98"/>
      <c r="H10" s="98" t="s">
        <v>177</v>
      </c>
      <c r="I10" s="87" t="s">
        <v>178</v>
      </c>
      <c r="J10" s="99" t="s">
        <v>177</v>
      </c>
      <c r="K10" s="100" t="s">
        <v>178</v>
      </c>
      <c r="L10" s="101" t="s">
        <v>119</v>
      </c>
      <c r="M10" s="192"/>
    </row>
    <row r="11" spans="1:13" s="105" customFormat="1" ht="13.5" thickBot="1">
      <c r="A11" s="102" t="s">
        <v>120</v>
      </c>
      <c r="B11" s="286" t="s">
        <v>121</v>
      </c>
      <c r="C11" s="287"/>
      <c r="D11" s="288"/>
      <c r="E11" s="102" t="s">
        <v>122</v>
      </c>
      <c r="F11" s="102" t="s">
        <v>123</v>
      </c>
      <c r="G11" s="102" t="s">
        <v>124</v>
      </c>
      <c r="H11" s="102" t="s">
        <v>125</v>
      </c>
      <c r="I11" s="103" t="s">
        <v>126</v>
      </c>
      <c r="J11" s="104" t="s">
        <v>127</v>
      </c>
      <c r="K11" s="104" t="s">
        <v>128</v>
      </c>
      <c r="L11" s="104" t="s">
        <v>129</v>
      </c>
      <c r="M11" s="195"/>
    </row>
    <row r="12" spans="1:13" s="70" customFormat="1" ht="13.5" customHeight="1">
      <c r="A12" s="289" t="s">
        <v>120</v>
      </c>
      <c r="B12" s="291" t="s">
        <v>130</v>
      </c>
      <c r="C12" s="292"/>
      <c r="D12" s="292"/>
      <c r="E12" s="77" t="s">
        <v>88</v>
      </c>
      <c r="F12" s="106"/>
      <c r="G12" s="107"/>
      <c r="H12" s="107"/>
      <c r="I12" s="107"/>
      <c r="J12" s="106"/>
      <c r="K12" s="106"/>
      <c r="L12" s="108"/>
      <c r="M12" s="191"/>
    </row>
    <row r="13" spans="1:13" s="70" customFormat="1" ht="13.5" customHeight="1">
      <c r="A13" s="290"/>
      <c r="B13" s="293" t="s">
        <v>131</v>
      </c>
      <c r="C13" s="294"/>
      <c r="D13" s="294"/>
      <c r="E13" s="109" t="s">
        <v>132</v>
      </c>
      <c r="F13" s="110">
        <v>4028.1</v>
      </c>
      <c r="G13" s="110"/>
      <c r="H13" s="110"/>
      <c r="I13" s="111">
        <f>IF(F13&lt;&gt;0,ROUND(H13/F13,2),)</f>
        <v>0</v>
      </c>
      <c r="J13" s="110">
        <v>4028.1</v>
      </c>
      <c r="K13" s="112">
        <f>IF(F13&lt;&gt;0,ROUND(J13/F13,2),)</f>
        <v>1</v>
      </c>
      <c r="L13" s="111">
        <f>IF(H13&lt;&gt;0,ROUND(J13/H13,2),)</f>
        <v>0</v>
      </c>
      <c r="M13" s="191"/>
    </row>
    <row r="14" spans="1:13" s="70" customFormat="1" ht="13.5" customHeight="1">
      <c r="A14" s="11" t="s">
        <v>121</v>
      </c>
      <c r="B14" s="256" t="s">
        <v>133</v>
      </c>
      <c r="C14" s="256"/>
      <c r="D14" s="256"/>
      <c r="E14" s="109" t="s">
        <v>132</v>
      </c>
      <c r="F14" s="113">
        <v>1417.9</v>
      </c>
      <c r="G14" s="113"/>
      <c r="H14" s="113"/>
      <c r="I14" s="111">
        <f>IF(F14&lt;&gt;0,ROUND(H14/F14,2),)</f>
        <v>0</v>
      </c>
      <c r="J14" s="113">
        <v>1417.9</v>
      </c>
      <c r="K14" s="112">
        <f>IF(F14&lt;&gt;0,ROUND(J14/F14,2),)</f>
        <v>1</v>
      </c>
      <c r="L14" s="111">
        <f>IF(H14&lt;&gt;0,ROUND(J14/H14,2),)</f>
        <v>0</v>
      </c>
      <c r="M14" s="191"/>
    </row>
    <row r="15" spans="1:13" s="70" customFormat="1" ht="16.5" customHeight="1">
      <c r="A15" s="11" t="s">
        <v>122</v>
      </c>
      <c r="B15" s="295" t="s">
        <v>134</v>
      </c>
      <c r="C15" s="295"/>
      <c r="D15" s="295"/>
      <c r="E15" s="114" t="s">
        <v>132</v>
      </c>
      <c r="F15" s="115">
        <f>ROUND(F16+F19+F20+F23,1)</f>
        <v>13613.9</v>
      </c>
      <c r="G15" s="115">
        <f>ROUND(G16+G19+G20+G23,1)</f>
        <v>0</v>
      </c>
      <c r="H15" s="115">
        <f>ROUND(H16+H19+H20+H23,1)</f>
        <v>0</v>
      </c>
      <c r="I15" s="111">
        <f>IF(F15&lt;&gt;0,ROUND(H15/F15,2),)</f>
        <v>0</v>
      </c>
      <c r="J15" s="115">
        <f>ROUND(J16+J19+J20+J23,1)</f>
        <v>13613.9</v>
      </c>
      <c r="K15" s="112">
        <f>IF(F15&lt;&gt;0,ROUND(J15/F15,2),)</f>
        <v>1</v>
      </c>
      <c r="L15" s="111">
        <f>IF(H15&lt;&gt;0,ROUND(J15/H15,2),)</f>
        <v>0</v>
      </c>
      <c r="M15" s="191"/>
    </row>
    <row r="16" spans="1:13" s="121" customFormat="1" ht="13.5" customHeight="1">
      <c r="A16" s="116" t="s">
        <v>135</v>
      </c>
      <c r="B16" s="283" t="s">
        <v>136</v>
      </c>
      <c r="C16" s="284"/>
      <c r="D16" s="285"/>
      <c r="E16" s="117" t="s">
        <v>132</v>
      </c>
      <c r="F16" s="118">
        <v>1899.6</v>
      </c>
      <c r="G16" s="118"/>
      <c r="H16" s="118"/>
      <c r="I16" s="119">
        <f>IF(F16&lt;&gt;0,ROUND(H16/F16,2),)</f>
        <v>0</v>
      </c>
      <c r="J16" s="118">
        <v>1899.6</v>
      </c>
      <c r="K16" s="120">
        <f>IF(F16&lt;&gt;0,ROUND(J16/F16,2),)</f>
        <v>1</v>
      </c>
      <c r="L16" s="119">
        <f>IF(H16&lt;&gt;0,ROUND(J16/H16,2),)</f>
        <v>0</v>
      </c>
      <c r="M16" s="191"/>
    </row>
    <row r="17" spans="1:13" s="70" customFormat="1" ht="13.5" customHeight="1">
      <c r="A17" s="122"/>
      <c r="B17" s="268" t="s">
        <v>137</v>
      </c>
      <c r="C17" s="269"/>
      <c r="D17" s="270"/>
      <c r="E17" s="123"/>
      <c r="F17" s="124"/>
      <c r="G17" s="125"/>
      <c r="H17" s="125"/>
      <c r="I17" s="126"/>
      <c r="J17" s="124"/>
      <c r="K17" s="124"/>
      <c r="L17" s="127"/>
      <c r="M17" s="191"/>
    </row>
    <row r="18" spans="1:13" s="121" customFormat="1" ht="13.5" customHeight="1">
      <c r="A18" s="128"/>
      <c r="B18" s="271" t="s">
        <v>138</v>
      </c>
      <c r="C18" s="272"/>
      <c r="D18" s="279"/>
      <c r="E18" s="129"/>
      <c r="F18" s="130"/>
      <c r="G18" s="131"/>
      <c r="H18" s="131"/>
      <c r="I18" s="132"/>
      <c r="J18" s="130"/>
      <c r="K18" s="130"/>
      <c r="L18" s="133"/>
      <c r="M18" s="191"/>
    </row>
    <row r="19" spans="1:13" s="70" customFormat="1" ht="13.5" customHeight="1">
      <c r="A19" s="81" t="s">
        <v>139</v>
      </c>
      <c r="B19" s="280" t="s">
        <v>140</v>
      </c>
      <c r="C19" s="281"/>
      <c r="D19" s="282"/>
      <c r="E19" s="134" t="s">
        <v>132</v>
      </c>
      <c r="F19" s="135">
        <v>7039</v>
      </c>
      <c r="G19" s="135"/>
      <c r="H19" s="135"/>
      <c r="I19" s="136">
        <f>IF(F19&lt;&gt;0,ROUND(H19/F19,2),)</f>
        <v>0</v>
      </c>
      <c r="J19" s="135">
        <v>7039</v>
      </c>
      <c r="K19" s="137">
        <f>IF(F19&lt;&gt;0,ROUND(J19/F19,2),)</f>
        <v>1</v>
      </c>
      <c r="L19" s="111">
        <f>IF(H19&lt;&gt;0,ROUND(J19/H19,2),)</f>
        <v>0</v>
      </c>
      <c r="M19" s="191"/>
    </row>
    <row r="20" spans="1:13" s="142" customFormat="1" ht="13.5" customHeight="1">
      <c r="A20" s="138" t="s">
        <v>141</v>
      </c>
      <c r="B20" s="283" t="s">
        <v>142</v>
      </c>
      <c r="C20" s="284"/>
      <c r="D20" s="285"/>
      <c r="E20" s="117" t="s">
        <v>132</v>
      </c>
      <c r="F20" s="139">
        <v>3426</v>
      </c>
      <c r="G20" s="139"/>
      <c r="H20" s="139"/>
      <c r="I20" s="140">
        <f>IF(F20&lt;&gt;0,ROUND(H20/F20,2),)</f>
        <v>0</v>
      </c>
      <c r="J20" s="139">
        <v>3426</v>
      </c>
      <c r="K20" s="141">
        <f>IF(F20&lt;&gt;0,ROUND(J20/F20,2),)</f>
        <v>1</v>
      </c>
      <c r="L20" s="119">
        <f>IF(H20&lt;&gt;0,ROUND(J20/H20,2),)</f>
        <v>0</v>
      </c>
      <c r="M20" s="191"/>
    </row>
    <row r="21" spans="1:13" s="70" customFormat="1" ht="13.5" customHeight="1">
      <c r="A21" s="143"/>
      <c r="B21" s="268" t="s">
        <v>143</v>
      </c>
      <c r="C21" s="269"/>
      <c r="D21" s="269"/>
      <c r="E21" s="144"/>
      <c r="F21" s="145"/>
      <c r="G21" s="146"/>
      <c r="H21" s="145"/>
      <c r="I21" s="147"/>
      <c r="J21" s="145"/>
      <c r="K21" s="145"/>
      <c r="L21" s="127"/>
      <c r="M21" s="191"/>
    </row>
    <row r="22" spans="1:13" s="70" customFormat="1" ht="13.5" customHeight="1">
      <c r="A22" s="148"/>
      <c r="B22" s="271" t="s">
        <v>144</v>
      </c>
      <c r="C22" s="272"/>
      <c r="D22" s="279"/>
      <c r="E22" s="129"/>
      <c r="F22" s="149"/>
      <c r="G22" s="149"/>
      <c r="H22" s="149"/>
      <c r="I22" s="150"/>
      <c r="J22" s="149"/>
      <c r="K22" s="149"/>
      <c r="L22" s="133"/>
      <c r="M22" s="191"/>
    </row>
    <row r="23" spans="1:13" s="70" customFormat="1" ht="13.5" customHeight="1">
      <c r="A23" s="148" t="s">
        <v>145</v>
      </c>
      <c r="B23" s="280" t="s">
        <v>146</v>
      </c>
      <c r="C23" s="281"/>
      <c r="D23" s="282"/>
      <c r="E23" s="114" t="s">
        <v>132</v>
      </c>
      <c r="F23" s="151">
        <v>1249.3</v>
      </c>
      <c r="G23" s="152"/>
      <c r="H23" s="152"/>
      <c r="I23" s="136">
        <f>IF(F23&lt;&gt;0,ROUND(H23/F23,2),)</f>
        <v>0</v>
      </c>
      <c r="J23" s="151">
        <v>1249.3</v>
      </c>
      <c r="K23" s="137">
        <f>IF(F23&lt;&gt;0,ROUND(J23/F23,2),)</f>
        <v>1</v>
      </c>
      <c r="L23" s="111">
        <f>IF(H23&lt;&gt;0,ROUND(J23/H23,2),)</f>
        <v>0</v>
      </c>
      <c r="M23" s="191"/>
    </row>
    <row r="24" spans="1:13" s="70" customFormat="1" ht="13.5" customHeight="1">
      <c r="A24" s="148" t="s">
        <v>123</v>
      </c>
      <c r="B24" s="280" t="s">
        <v>147</v>
      </c>
      <c r="C24" s="281"/>
      <c r="D24" s="282"/>
      <c r="E24" s="114" t="s">
        <v>132</v>
      </c>
      <c r="F24" s="153">
        <f>ROUND(F13+F14+F15,1)</f>
        <v>19059.9</v>
      </c>
      <c r="G24" s="153">
        <f>ROUND(G13+G14+G15,1)</f>
        <v>0</v>
      </c>
      <c r="H24" s="153">
        <f>ROUND(H13+H14+H15,1)</f>
        <v>0</v>
      </c>
      <c r="I24" s="136">
        <f>IF(F24&lt;&gt;0,ROUND(H24/F24,2),)</f>
        <v>0</v>
      </c>
      <c r="J24" s="153">
        <f>ROUND(J13+J14+J15,1)</f>
        <v>19059.9</v>
      </c>
      <c r="K24" s="137">
        <f>IF(F24&lt;&gt;0,ROUND(J24/F24,2),)</f>
        <v>1</v>
      </c>
      <c r="L24" s="111">
        <f>IF(H24&lt;&gt;0,ROUND(J24/H24,2),)</f>
        <v>0</v>
      </c>
      <c r="M24" s="191"/>
    </row>
    <row r="25" spans="1:13" s="70" customFormat="1" ht="13.5" customHeight="1">
      <c r="A25" s="154" t="s">
        <v>124</v>
      </c>
      <c r="B25" s="283" t="s">
        <v>148</v>
      </c>
      <c r="C25" s="284"/>
      <c r="D25" s="285"/>
      <c r="E25" s="77" t="s">
        <v>28</v>
      </c>
      <c r="F25" s="155">
        <f>F45/F44*100</f>
        <v>5.1986989423374785</v>
      </c>
      <c r="G25" s="155"/>
      <c r="H25" s="155"/>
      <c r="I25" s="155"/>
      <c r="J25" s="155">
        <f>J45/J44*100</f>
        <v>5.1986989423374785</v>
      </c>
      <c r="K25" s="157"/>
      <c r="L25" s="158"/>
      <c r="M25" s="191"/>
    </row>
    <row r="26" spans="1:13" s="70" customFormat="1" ht="13.5" customHeight="1">
      <c r="A26" s="143"/>
      <c r="B26" s="268" t="s">
        <v>149</v>
      </c>
      <c r="C26" s="269"/>
      <c r="D26" s="270"/>
      <c r="E26" s="159"/>
      <c r="F26" s="125"/>
      <c r="G26" s="160"/>
      <c r="H26" s="161">
        <v>0</v>
      </c>
      <c r="I26" s="126"/>
      <c r="J26" s="125"/>
      <c r="K26" s="125"/>
      <c r="L26" s="126"/>
      <c r="M26" s="191"/>
    </row>
    <row r="27" spans="1:13" s="70" customFormat="1" ht="13.5" customHeight="1">
      <c r="A27" s="162"/>
      <c r="B27" s="271" t="s">
        <v>150</v>
      </c>
      <c r="C27" s="272"/>
      <c r="D27" s="279"/>
      <c r="E27" s="163"/>
      <c r="F27" s="131"/>
      <c r="G27" s="164"/>
      <c r="H27" s="165"/>
      <c r="I27" s="132"/>
      <c r="J27" s="131"/>
      <c r="K27" s="131"/>
      <c r="L27" s="132"/>
      <c r="M27" s="191"/>
    </row>
    <row r="28" spans="1:13" s="70" customFormat="1" ht="13.5" customHeight="1">
      <c r="A28" s="154" t="s">
        <v>125</v>
      </c>
      <c r="B28" s="268" t="s">
        <v>151</v>
      </c>
      <c r="C28" s="269"/>
      <c r="D28" s="270"/>
      <c r="E28" s="84" t="s">
        <v>132</v>
      </c>
      <c r="F28" s="166">
        <f>F24*F25/100</f>
        <v>990.8668197105812</v>
      </c>
      <c r="G28" s="166">
        <f>G24*G25/100</f>
        <v>0</v>
      </c>
      <c r="H28" s="166">
        <f>H24*H25/100</f>
        <v>0</v>
      </c>
      <c r="I28" s="140">
        <f>IF(F28&lt;&gt;0,ROUND(H28/F28,2),)</f>
        <v>0</v>
      </c>
      <c r="J28" s="166">
        <f>J24*J25/100</f>
        <v>990.8668197105812</v>
      </c>
      <c r="K28" s="141">
        <f>IF(F28&lt;&gt;0,ROUND(J28/F28,2),)</f>
        <v>1</v>
      </c>
      <c r="L28" s="119">
        <f>IF(H28&lt;&gt;0,ROUND(J28/H28,2),)</f>
        <v>0</v>
      </c>
      <c r="M28" s="191"/>
    </row>
    <row r="29" spans="1:13" s="70" customFormat="1" ht="13.5" customHeight="1">
      <c r="A29" s="162"/>
      <c r="B29" s="271" t="s">
        <v>152</v>
      </c>
      <c r="C29" s="272"/>
      <c r="D29" s="272"/>
      <c r="E29" s="163"/>
      <c r="F29" s="131"/>
      <c r="G29" s="164"/>
      <c r="H29" s="165"/>
      <c r="I29" s="132">
        <f>IF(F29&lt;&gt;0,ROUND(H29/F29,2),)</f>
        <v>0</v>
      </c>
      <c r="J29" s="131"/>
      <c r="K29" s="131"/>
      <c r="L29" s="132"/>
      <c r="M29" s="191"/>
    </row>
    <row r="30" spans="1:13" s="70" customFormat="1" ht="13.5" customHeight="1">
      <c r="A30" s="167" t="s">
        <v>126</v>
      </c>
      <c r="B30" s="256" t="s">
        <v>153</v>
      </c>
      <c r="C30" s="256"/>
      <c r="D30" s="256"/>
      <c r="E30" s="109" t="s">
        <v>132</v>
      </c>
      <c r="F30" s="113">
        <v>52.2</v>
      </c>
      <c r="G30" s="113"/>
      <c r="H30" s="113"/>
      <c r="I30" s="136">
        <f>IF(F30&lt;&gt;0,ROUND(H30/F30,2),)</f>
        <v>0</v>
      </c>
      <c r="J30" s="113">
        <v>52.2</v>
      </c>
      <c r="K30" s="137">
        <f>IF(F30&lt;&gt;0,ROUND(J30/F30,2),)</f>
        <v>1</v>
      </c>
      <c r="L30" s="111">
        <f>IF(H30&lt;&gt;0,ROUND(J30/H30,2),)</f>
        <v>0</v>
      </c>
      <c r="M30" s="191"/>
    </row>
    <row r="31" spans="1:13" s="70" customFormat="1" ht="5.25" customHeight="1" hidden="1">
      <c r="A31" s="114" t="s">
        <v>88</v>
      </c>
      <c r="B31" s="273"/>
      <c r="C31" s="273"/>
      <c r="D31" s="273"/>
      <c r="E31" s="114"/>
      <c r="F31" s="168"/>
      <c r="G31" s="168"/>
      <c r="H31" s="168"/>
      <c r="I31" s="169">
        <f>IF(F31&lt;&gt;0,ROUND(H31/F31,2),)</f>
        <v>0</v>
      </c>
      <c r="J31" s="168"/>
      <c r="K31" s="115">
        <f>IF(F31&lt;&gt;0,ROUND(J31/F31,2),)</f>
        <v>0</v>
      </c>
      <c r="L31" s="111">
        <f>IF(H31&lt;&gt;0,ROUND(J31/H31,2),)</f>
        <v>0</v>
      </c>
      <c r="M31" s="191"/>
    </row>
    <row r="32" spans="1:13" s="142" customFormat="1" ht="13.5" customHeight="1">
      <c r="A32" s="138" t="s">
        <v>127</v>
      </c>
      <c r="B32" s="274" t="s">
        <v>154</v>
      </c>
      <c r="C32" s="275"/>
      <c r="D32" s="276"/>
      <c r="E32" s="117" t="s">
        <v>132</v>
      </c>
      <c r="F32" s="170">
        <f>F28+F30</f>
        <v>1043.0668197105813</v>
      </c>
      <c r="G32" s="170">
        <f>G28+G30</f>
        <v>0</v>
      </c>
      <c r="H32" s="170">
        <f>H28+H30</f>
        <v>0</v>
      </c>
      <c r="I32" s="140">
        <f>IF(F32&lt;&gt;0,ROUND(H32/F32,2),)</f>
        <v>0</v>
      </c>
      <c r="J32" s="170">
        <f>J28+J30</f>
        <v>1043.0668197105813</v>
      </c>
      <c r="K32" s="141">
        <f>IF(F32&lt;&gt;0,ROUND(J32/F32,2),)</f>
        <v>1</v>
      </c>
      <c r="L32" s="119">
        <f>IF(H32&lt;&gt;0,ROUND(J32/H32,2),)</f>
        <v>0</v>
      </c>
      <c r="M32" s="191"/>
    </row>
    <row r="33" spans="1:13" s="70" customFormat="1" ht="15" customHeight="1">
      <c r="A33" s="162"/>
      <c r="B33" s="277" t="s">
        <v>155</v>
      </c>
      <c r="C33" s="278"/>
      <c r="D33" s="278"/>
      <c r="E33" s="171"/>
      <c r="F33" s="172"/>
      <c r="G33" s="173"/>
      <c r="H33" s="174"/>
      <c r="I33" s="175"/>
      <c r="J33" s="172"/>
      <c r="K33" s="172"/>
      <c r="L33" s="176"/>
      <c r="M33" s="191"/>
    </row>
    <row r="34" spans="1:13" s="70" customFormat="1" ht="15.75" customHeight="1">
      <c r="A34" s="167" t="s">
        <v>128</v>
      </c>
      <c r="B34" s="266" t="s">
        <v>156</v>
      </c>
      <c r="C34" s="266"/>
      <c r="D34" s="266"/>
      <c r="E34" s="114" t="s">
        <v>28</v>
      </c>
      <c r="F34" s="113">
        <v>10</v>
      </c>
      <c r="G34" s="113"/>
      <c r="H34" s="113"/>
      <c r="I34" s="136">
        <f aca="true" t="shared" si="0" ref="I34:I41">IF(F34&lt;&gt;0,ROUND(H34/F34,2),)</f>
        <v>0</v>
      </c>
      <c r="J34" s="113">
        <v>10</v>
      </c>
      <c r="K34" s="137">
        <f aca="true" t="shared" si="1" ref="K34:K42">IF(F34&lt;&gt;0,ROUND(J34/F34,2),)</f>
        <v>1</v>
      </c>
      <c r="L34" s="111">
        <f aca="true" t="shared" si="2" ref="L34:L41">IF(H34&lt;&gt;0,ROUND(J34/H34,2),)</f>
        <v>0</v>
      </c>
      <c r="M34" s="191"/>
    </row>
    <row r="35" spans="1:13" s="70" customFormat="1" ht="15.75" customHeight="1">
      <c r="A35" s="167" t="s">
        <v>129</v>
      </c>
      <c r="B35" s="266" t="s">
        <v>157</v>
      </c>
      <c r="C35" s="266"/>
      <c r="D35" s="266"/>
      <c r="E35" s="109" t="s">
        <v>132</v>
      </c>
      <c r="F35" s="177">
        <f>F32*F34/100</f>
        <v>104.30668197105814</v>
      </c>
      <c r="G35" s="136">
        <f>G36-G32</f>
        <v>0</v>
      </c>
      <c r="H35" s="113"/>
      <c r="I35" s="136">
        <f t="shared" si="0"/>
        <v>0</v>
      </c>
      <c r="J35" s="177">
        <f>J32*J34/100</f>
        <v>104.30668197105814</v>
      </c>
      <c r="K35" s="137">
        <f t="shared" si="1"/>
        <v>1</v>
      </c>
      <c r="L35" s="111">
        <f t="shared" si="2"/>
        <v>0</v>
      </c>
      <c r="M35" s="191"/>
    </row>
    <row r="36" spans="1:13" s="70" customFormat="1" ht="15">
      <c r="A36" s="167" t="s">
        <v>158</v>
      </c>
      <c r="B36" s="256" t="s">
        <v>159</v>
      </c>
      <c r="C36" s="256"/>
      <c r="D36" s="256"/>
      <c r="E36" s="109" t="s">
        <v>132</v>
      </c>
      <c r="F36" s="136">
        <f>F32+F35</f>
        <v>1147.3735016816395</v>
      </c>
      <c r="G36" s="137">
        <f>ROUND(G38*G40/1000,2)</f>
        <v>0</v>
      </c>
      <c r="H36" s="136">
        <f>H32+H35</f>
        <v>0</v>
      </c>
      <c r="I36" s="136">
        <f t="shared" si="0"/>
        <v>0</v>
      </c>
      <c r="J36" s="136">
        <f>J32+J35</f>
        <v>1147.3735016816395</v>
      </c>
      <c r="K36" s="137">
        <f t="shared" si="1"/>
        <v>1</v>
      </c>
      <c r="L36" s="111">
        <f t="shared" si="2"/>
        <v>0</v>
      </c>
      <c r="M36" s="191"/>
    </row>
    <row r="37" spans="1:13" s="70" customFormat="1" ht="15">
      <c r="A37" s="167" t="s">
        <v>160</v>
      </c>
      <c r="B37" s="256" t="s">
        <v>44</v>
      </c>
      <c r="C37" s="256"/>
      <c r="D37" s="256"/>
      <c r="E37" s="109" t="s">
        <v>45</v>
      </c>
      <c r="F37" s="113">
        <v>208.9</v>
      </c>
      <c r="G37" s="113"/>
      <c r="H37" s="113"/>
      <c r="I37" s="136">
        <f t="shared" si="0"/>
        <v>0</v>
      </c>
      <c r="J37" s="113">
        <v>208.9</v>
      </c>
      <c r="K37" s="137">
        <f t="shared" si="1"/>
        <v>1</v>
      </c>
      <c r="L37" s="111">
        <f t="shared" si="2"/>
        <v>0</v>
      </c>
      <c r="M37" s="191"/>
    </row>
    <row r="38" spans="1:13" s="70" customFormat="1" ht="15">
      <c r="A38" s="167" t="s">
        <v>161</v>
      </c>
      <c r="B38" s="267" t="s">
        <v>162</v>
      </c>
      <c r="C38" s="267"/>
      <c r="D38" s="267"/>
      <c r="E38" s="109" t="s">
        <v>163</v>
      </c>
      <c r="F38" s="178">
        <f>IF(F37&lt;&gt;0,ROUND(F36*1000/F37/12,2),)</f>
        <v>457.7</v>
      </c>
      <c r="G38" s="178"/>
      <c r="H38" s="178">
        <f>IF(H37&lt;&gt;0,ROUND(H36*1000/H37/12,2),)</f>
        <v>0</v>
      </c>
      <c r="I38" s="136"/>
      <c r="J38" s="196">
        <f>IF(J37&lt;&gt;0,ROUND(J36*1000/J37/12,2),)</f>
        <v>457.7</v>
      </c>
      <c r="K38" s="137">
        <f t="shared" si="1"/>
        <v>1</v>
      </c>
      <c r="L38" s="111">
        <f t="shared" si="2"/>
        <v>0</v>
      </c>
      <c r="M38" s="191"/>
    </row>
    <row r="39" spans="1:13" s="70" customFormat="1" ht="15">
      <c r="A39" s="167" t="s">
        <v>164</v>
      </c>
      <c r="B39" s="256" t="s">
        <v>48</v>
      </c>
      <c r="C39" s="256"/>
      <c r="D39" s="256"/>
      <c r="E39" s="109" t="s">
        <v>132</v>
      </c>
      <c r="F39" s="113">
        <v>1000.56</v>
      </c>
      <c r="G39" s="137">
        <f>ROUND(G41*G40/1000,2)</f>
        <v>0</v>
      </c>
      <c r="H39" s="113"/>
      <c r="I39" s="136">
        <f t="shared" si="0"/>
        <v>0</v>
      </c>
      <c r="J39" s="113">
        <v>729.71</v>
      </c>
      <c r="K39" s="137">
        <f t="shared" si="1"/>
        <v>0.73</v>
      </c>
      <c r="L39" s="111">
        <f t="shared" si="2"/>
        <v>0</v>
      </c>
      <c r="M39" s="191"/>
    </row>
    <row r="40" spans="1:13" s="70" customFormat="1" ht="15.75" customHeight="1">
      <c r="A40" s="167" t="s">
        <v>165</v>
      </c>
      <c r="B40" s="256" t="s">
        <v>49</v>
      </c>
      <c r="C40" s="256"/>
      <c r="D40" s="256"/>
      <c r="E40" s="109" t="s">
        <v>166</v>
      </c>
      <c r="F40" s="113">
        <v>22907</v>
      </c>
      <c r="G40" s="113"/>
      <c r="H40" s="113"/>
      <c r="I40" s="136">
        <f t="shared" si="0"/>
        <v>0</v>
      </c>
      <c r="J40" s="113">
        <v>22907</v>
      </c>
      <c r="K40" s="137">
        <f t="shared" si="1"/>
        <v>1</v>
      </c>
      <c r="L40" s="111">
        <f t="shared" si="2"/>
        <v>0</v>
      </c>
      <c r="M40" s="191"/>
    </row>
    <row r="41" spans="1:13" s="142" customFormat="1" ht="17.25" customHeight="1">
      <c r="A41" s="11" t="s">
        <v>167</v>
      </c>
      <c r="B41" s="257" t="s">
        <v>51</v>
      </c>
      <c r="C41" s="257"/>
      <c r="D41" s="257"/>
      <c r="E41" s="109" t="s">
        <v>52</v>
      </c>
      <c r="F41" s="178">
        <f>IF(F40&lt;&gt;0,ROUND(F39*1000/F40,2),)</f>
        <v>43.68</v>
      </c>
      <c r="G41" s="178"/>
      <c r="H41" s="178">
        <f>IF(H40&lt;&gt;0,ROUND(H39*1000/H40,2),)</f>
        <v>0</v>
      </c>
      <c r="I41" s="136">
        <f t="shared" si="0"/>
        <v>0</v>
      </c>
      <c r="J41" s="196">
        <f>IF(J40&lt;&gt;0,ROUND(J39*1000/J40,2),)</f>
        <v>31.86</v>
      </c>
      <c r="K41" s="137">
        <f t="shared" si="1"/>
        <v>0.73</v>
      </c>
      <c r="L41" s="111">
        <f t="shared" si="2"/>
        <v>0</v>
      </c>
      <c r="M41" s="191"/>
    </row>
    <row r="42" spans="1:13" s="142" customFormat="1" ht="28.5" customHeight="1">
      <c r="A42" s="197" t="s">
        <v>179</v>
      </c>
      <c r="B42" s="305" t="s">
        <v>180</v>
      </c>
      <c r="C42" s="306"/>
      <c r="D42" s="307"/>
      <c r="E42" s="109" t="s">
        <v>52</v>
      </c>
      <c r="F42" s="188">
        <f>IF(F40&lt;&gt;0,ROUND((F36+F39)*1000/F40,2),)</f>
        <v>93.77</v>
      </c>
      <c r="G42" s="178"/>
      <c r="H42" s="178"/>
      <c r="I42" s="169"/>
      <c r="J42" s="188">
        <f>IF(J40&lt;&gt;0,ROUND((J36+J39)*1000/J40,2),)</f>
        <v>81.94</v>
      </c>
      <c r="K42" s="137">
        <f t="shared" si="1"/>
        <v>0.87</v>
      </c>
      <c r="L42" s="169"/>
      <c r="M42" s="191"/>
    </row>
    <row r="43" spans="1:13" ht="15">
      <c r="A43" s="263" t="s">
        <v>38</v>
      </c>
      <c r="B43" s="264"/>
      <c r="C43" s="264"/>
      <c r="D43" s="179"/>
      <c r="E43" s="179"/>
      <c r="F43" s="180"/>
      <c r="G43" s="180"/>
      <c r="H43" s="180"/>
      <c r="I43" s="181"/>
      <c r="J43" s="180"/>
      <c r="K43" s="180"/>
      <c r="L43" s="182"/>
      <c r="M43" s="191"/>
    </row>
    <row r="44" spans="1:13" ht="15">
      <c r="A44" s="265" t="s">
        <v>168</v>
      </c>
      <c r="B44" s="265"/>
      <c r="C44" s="265"/>
      <c r="D44" s="265"/>
      <c r="E44" s="9" t="s">
        <v>40</v>
      </c>
      <c r="F44" s="151">
        <v>451940</v>
      </c>
      <c r="G44" s="151"/>
      <c r="H44" s="151"/>
      <c r="I44" s="111">
        <f>IF(F44&lt;&gt;0,ROUND(H44/F44,2),)</f>
        <v>0</v>
      </c>
      <c r="J44" s="151">
        <v>451940</v>
      </c>
      <c r="K44" s="112">
        <f>IF(F44&lt;&gt;0,ROUND(J44/F44,2),)</f>
        <v>1</v>
      </c>
      <c r="L44" s="111">
        <f>IF(H44&lt;&gt;0,ROUND(J44/H44,2),)</f>
        <v>0</v>
      </c>
      <c r="M44" s="191"/>
    </row>
    <row r="45" spans="1:13" ht="15">
      <c r="A45" s="265" t="s">
        <v>169</v>
      </c>
      <c r="B45" s="265"/>
      <c r="C45" s="265"/>
      <c r="D45" s="265"/>
      <c r="E45" s="9" t="s">
        <v>40</v>
      </c>
      <c r="F45" s="183">
        <f>F40+F46</f>
        <v>23495</v>
      </c>
      <c r="G45" s="151"/>
      <c r="H45" s="151"/>
      <c r="I45" s="111">
        <f>IF(F45&lt;&gt;0,ROUND(H45/F45,2),)</f>
        <v>0</v>
      </c>
      <c r="J45" s="183">
        <f>J40+J46</f>
        <v>23495</v>
      </c>
      <c r="K45" s="112">
        <f>IF(F45&lt;&gt;0,ROUND(J45/F45,2),)</f>
        <v>1</v>
      </c>
      <c r="L45" s="111">
        <f>IF(H45&lt;&gt;0,ROUND(J45/H45,2),)</f>
        <v>0</v>
      </c>
      <c r="M45" s="191"/>
    </row>
    <row r="46" spans="1:13" ht="15">
      <c r="A46" s="265" t="s">
        <v>170</v>
      </c>
      <c r="B46" s="265"/>
      <c r="C46" s="265"/>
      <c r="D46" s="265"/>
      <c r="E46" s="9" t="s">
        <v>40</v>
      </c>
      <c r="F46" s="151">
        <v>588</v>
      </c>
      <c r="G46" s="151"/>
      <c r="H46" s="151"/>
      <c r="I46" s="184">
        <f>IF(F46&lt;&gt;0,ROUND(H46/F46,2),)</f>
        <v>0</v>
      </c>
      <c r="J46" s="151">
        <v>588</v>
      </c>
      <c r="K46" s="112">
        <f>IF(F46&lt;&gt;0,ROUND(J46/F46,2),)</f>
        <v>1</v>
      </c>
      <c r="L46" s="111">
        <f>IF(H46&lt;&gt;0,ROUND(J46/H46,2),)</f>
        <v>0</v>
      </c>
      <c r="M46" s="191"/>
    </row>
    <row r="47" spans="1:13" ht="15">
      <c r="A47" s="66" t="s">
        <v>55</v>
      </c>
      <c r="B47" s="185"/>
      <c r="C47" s="185"/>
      <c r="D47" s="67"/>
      <c r="E47" s="9" t="s">
        <v>28</v>
      </c>
      <c r="F47" s="151">
        <v>2.5</v>
      </c>
      <c r="G47" s="151"/>
      <c r="H47" s="151"/>
      <c r="I47" s="186"/>
      <c r="J47" s="151">
        <v>2.5</v>
      </c>
      <c r="K47" s="112">
        <f>IF(F47&lt;&gt;0,ROUND(J47/F47,2),)</f>
        <v>1</v>
      </c>
      <c r="L47" s="111">
        <f>IF(H47&lt;&gt;0,ROUND(J47/H47,2),)</f>
        <v>0</v>
      </c>
      <c r="M47" s="191"/>
    </row>
    <row r="48" spans="2:4" ht="12.75">
      <c r="B48" s="261"/>
      <c r="C48" s="261"/>
      <c r="D48" s="261"/>
    </row>
    <row r="49" spans="2:8" ht="12.75">
      <c r="B49" s="262"/>
      <c r="C49" s="262"/>
      <c r="D49" s="262"/>
      <c r="E49" s="262"/>
      <c r="F49" s="262"/>
      <c r="G49" s="262"/>
      <c r="H49" s="262"/>
    </row>
  </sheetData>
  <sheetProtection/>
  <mergeCells count="45">
    <mergeCell ref="D1:F1"/>
    <mergeCell ref="A2:I2"/>
    <mergeCell ref="B3:J3"/>
    <mergeCell ref="J6:L6"/>
    <mergeCell ref="B7:D7"/>
    <mergeCell ref="B9:D9"/>
    <mergeCell ref="B11:D11"/>
    <mergeCell ref="A12:A1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46:D46"/>
    <mergeCell ref="B48:D48"/>
    <mergeCell ref="B49:H49"/>
    <mergeCell ref="B42:D42"/>
    <mergeCell ref="A43:C43"/>
    <mergeCell ref="A44:D44"/>
    <mergeCell ref="A45:D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09"/>
  <sheetViews>
    <sheetView tabSelected="1" zoomScale="75" zoomScaleNormal="75" zoomScalePageLayoutView="0" workbookViewId="0" topLeftCell="A1">
      <selection activeCell="I61" sqref="I61"/>
    </sheetView>
  </sheetViews>
  <sheetFormatPr defaultColWidth="8.8515625" defaultRowHeight="12.75"/>
  <cols>
    <col min="1" max="1" width="5.7109375" style="1" customWidth="1"/>
    <col min="2" max="2" width="38.28125" style="2" customWidth="1"/>
    <col min="3" max="3" width="8.7109375" style="1" customWidth="1"/>
    <col min="4" max="5" width="10.140625" style="2" customWidth="1"/>
    <col min="6" max="7" width="10.28125" style="2" customWidth="1"/>
    <col min="8" max="8" width="10.140625" style="2" customWidth="1"/>
    <col min="9" max="9" width="11.7109375" style="2" customWidth="1"/>
    <col min="10" max="10" width="9.421875" style="2" customWidth="1"/>
    <col min="11" max="12" width="11.7109375" style="2" customWidth="1"/>
    <col min="13" max="13" width="9.7109375" style="2" customWidth="1"/>
    <col min="14" max="14" width="10.8515625" style="2" customWidth="1"/>
    <col min="15" max="17" width="10.7109375" style="2" customWidth="1"/>
    <col min="18" max="18" width="10.28125" style="2" customWidth="1"/>
    <col min="19" max="19" width="11.00390625" style="2" customWidth="1"/>
    <col min="20" max="20" width="10.7109375" style="2" customWidth="1"/>
    <col min="21" max="21" width="8.7109375" style="2" customWidth="1"/>
    <col min="22" max="16384" width="8.8515625" style="2" customWidth="1"/>
  </cols>
  <sheetData>
    <row r="1" ht="12.75">
      <c r="N1" s="3"/>
    </row>
    <row r="2" spans="2:21" ht="18" customHeight="1">
      <c r="B2" s="318" t="s">
        <v>59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1:21" ht="15.75" customHeight="1">
      <c r="A3" s="4"/>
      <c r="B3" s="319" t="s">
        <v>181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2.75" customHeight="1">
      <c r="A4" s="4"/>
      <c r="B4" s="320" t="s">
        <v>182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</row>
    <row r="5" spans="1:21" ht="12.75" customHeight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8" customHeight="1">
      <c r="A6" s="198" t="s">
        <v>100</v>
      </c>
      <c r="B6" s="199" t="s">
        <v>183</v>
      </c>
      <c r="C6" s="200" t="s">
        <v>184</v>
      </c>
      <c r="D6" s="200" t="s">
        <v>185</v>
      </c>
      <c r="E6" s="200" t="s">
        <v>186</v>
      </c>
      <c r="F6" s="201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8.75" customHeight="1">
      <c r="A7" s="202">
        <v>1</v>
      </c>
      <c r="B7" s="28" t="s">
        <v>187</v>
      </c>
      <c r="C7" s="203"/>
      <c r="D7" s="203">
        <v>1.059</v>
      </c>
      <c r="E7" s="203">
        <v>1.052</v>
      </c>
      <c r="F7" s="20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2.75" customHeight="1">
      <c r="A8" s="202">
        <v>2</v>
      </c>
      <c r="B8" s="28" t="s">
        <v>188</v>
      </c>
      <c r="C8" s="203"/>
      <c r="D8" s="203">
        <v>0.75</v>
      </c>
      <c r="E8" s="203">
        <v>0.75</v>
      </c>
      <c r="F8" s="20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2.75" customHeight="1">
      <c r="A9" s="202">
        <v>3</v>
      </c>
      <c r="B9" s="28" t="s">
        <v>189</v>
      </c>
      <c r="C9" s="205">
        <v>622.9</v>
      </c>
      <c r="D9" s="205">
        <v>622.9</v>
      </c>
      <c r="E9" s="205">
        <v>622.9</v>
      </c>
      <c r="F9" s="20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.75" customHeight="1">
      <c r="A10" s="202">
        <v>4</v>
      </c>
      <c r="B10" s="28" t="s">
        <v>190</v>
      </c>
      <c r="C10" s="9"/>
      <c r="D10" s="9">
        <v>0.01</v>
      </c>
      <c r="E10" s="9">
        <v>0.01</v>
      </c>
      <c r="F10" s="20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14" ht="12.75" customHeight="1">
      <c r="A11" s="202">
        <v>5</v>
      </c>
      <c r="B11" s="32" t="s">
        <v>191</v>
      </c>
      <c r="C11" s="32"/>
      <c r="D11" s="207">
        <f>D7*(1+D8*(D9-C9)/D9)*(1-D10)</f>
        <v>1.0484099999999998</v>
      </c>
      <c r="E11" s="207">
        <f>E7*(1+E8*(E9-D9)/E9)*(1-E10)</f>
        <v>1.04148</v>
      </c>
      <c r="F11" s="208"/>
      <c r="G11" s="45"/>
      <c r="H11" s="45"/>
      <c r="I11" s="45"/>
      <c r="J11" s="45"/>
      <c r="K11" s="45"/>
      <c r="L11" s="45"/>
      <c r="M11" s="45"/>
      <c r="N11" s="4"/>
    </row>
    <row r="12" spans="1:20" ht="12.75" customHeight="1">
      <c r="A12" s="209"/>
      <c r="B12" s="210"/>
      <c r="C12" s="210"/>
      <c r="D12" s="211"/>
      <c r="E12" s="211"/>
      <c r="F12" s="212"/>
      <c r="G12" s="213"/>
      <c r="H12" s="213"/>
      <c r="I12" s="213"/>
      <c r="J12" s="213"/>
      <c r="K12" s="213"/>
      <c r="L12" s="213"/>
      <c r="M12" s="213"/>
      <c r="N12" s="214"/>
      <c r="O12" s="215"/>
      <c r="P12" s="215"/>
      <c r="Q12" s="215"/>
      <c r="R12" s="215"/>
      <c r="S12" s="215"/>
      <c r="T12" s="215"/>
    </row>
    <row r="13" spans="1:20" ht="12" customHeight="1">
      <c r="A13" s="216"/>
      <c r="B13" s="216"/>
      <c r="C13" s="217"/>
      <c r="D13" s="316" t="s">
        <v>192</v>
      </c>
      <c r="E13" s="321" t="s">
        <v>193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3"/>
    </row>
    <row r="14" spans="1:20" s="5" customFormat="1" ht="13.5" customHeight="1">
      <c r="A14" s="312" t="s">
        <v>0</v>
      </c>
      <c r="B14" s="312" t="s">
        <v>1</v>
      </c>
      <c r="C14" s="314" t="s">
        <v>2</v>
      </c>
      <c r="D14" s="316"/>
      <c r="E14" s="316" t="s">
        <v>194</v>
      </c>
      <c r="F14" s="308" t="s">
        <v>195</v>
      </c>
      <c r="G14" s="309"/>
      <c r="H14" s="309"/>
      <c r="I14" s="309"/>
      <c r="J14" s="310"/>
      <c r="K14" s="308" t="s">
        <v>196</v>
      </c>
      <c r="L14" s="309"/>
      <c r="M14" s="309"/>
      <c r="N14" s="309"/>
      <c r="O14" s="310"/>
      <c r="P14" s="308" t="s">
        <v>197</v>
      </c>
      <c r="Q14" s="309"/>
      <c r="R14" s="309"/>
      <c r="S14" s="309"/>
      <c r="T14" s="310"/>
    </row>
    <row r="15" spans="1:20" s="5" customFormat="1" ht="54" customHeight="1">
      <c r="A15" s="313"/>
      <c r="B15" s="313"/>
      <c r="C15" s="315"/>
      <c r="D15" s="317"/>
      <c r="E15" s="317"/>
      <c r="F15" s="218" t="s">
        <v>198</v>
      </c>
      <c r="G15" s="218" t="s">
        <v>199</v>
      </c>
      <c r="H15" s="218" t="s">
        <v>200</v>
      </c>
      <c r="I15" s="218" t="s">
        <v>201</v>
      </c>
      <c r="J15" s="218" t="s">
        <v>202</v>
      </c>
      <c r="K15" s="65" t="s">
        <v>203</v>
      </c>
      <c r="L15" s="65" t="s">
        <v>204</v>
      </c>
      <c r="M15" s="218" t="s">
        <v>205</v>
      </c>
      <c r="N15" s="65" t="s">
        <v>185</v>
      </c>
      <c r="O15" s="218" t="s">
        <v>206</v>
      </c>
      <c r="P15" s="65" t="s">
        <v>207</v>
      </c>
      <c r="Q15" s="65" t="s">
        <v>208</v>
      </c>
      <c r="R15" s="218" t="s">
        <v>209</v>
      </c>
      <c r="S15" s="65" t="s">
        <v>186</v>
      </c>
      <c r="T15" s="219" t="s">
        <v>210</v>
      </c>
    </row>
    <row r="16" spans="1:20" ht="10.5" customHeight="1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f>N16+1</f>
        <v>15</v>
      </c>
      <c r="P16" s="6">
        <v>16</v>
      </c>
      <c r="Q16" s="6">
        <v>17</v>
      </c>
      <c r="R16" s="6">
        <v>18</v>
      </c>
      <c r="S16" s="6">
        <v>19</v>
      </c>
      <c r="T16" s="6">
        <f>S16+1</f>
        <v>20</v>
      </c>
    </row>
    <row r="17" spans="1:20" ht="15.75">
      <c r="A17" s="8">
        <v>1</v>
      </c>
      <c r="B17" s="24" t="s">
        <v>3</v>
      </c>
      <c r="C17" s="16" t="s">
        <v>4</v>
      </c>
      <c r="D17" s="220">
        <f>D18+D19+D20+D21+D22</f>
        <v>15651.9</v>
      </c>
      <c r="E17" s="220">
        <f>E18+E19+E20+E21+E22</f>
        <v>16450.1469</v>
      </c>
      <c r="F17" s="220">
        <f>F18+F19+F20+F21+F22</f>
        <v>7825.95</v>
      </c>
      <c r="G17" s="220">
        <f>G18+G19+G20+G21+G22</f>
        <v>8225.07345</v>
      </c>
      <c r="H17" s="221">
        <f>G17/F17*100</f>
        <v>105.1</v>
      </c>
      <c r="I17" s="220">
        <f>I18+I19+I20+I21+I22</f>
        <v>16051.02345</v>
      </c>
      <c r="J17" s="221">
        <f>I17/D17*100</f>
        <v>102.55000000000001</v>
      </c>
      <c r="K17" s="220">
        <f>K18+K19+K20+K21+K22</f>
        <v>8225.07345</v>
      </c>
      <c r="L17" s="220">
        <f>L18+L19+L20+L21+L22</f>
        <v>8602.980045214497</v>
      </c>
      <c r="M17" s="221">
        <f>L17/K17*100</f>
        <v>104.59456803044715</v>
      </c>
      <c r="N17" s="220">
        <f>N18+N19+N20+N21+N22</f>
        <v>16828.053495214495</v>
      </c>
      <c r="O17" s="46">
        <f aca="true" t="shared" si="0" ref="O17:O32">N17/I17*100</f>
        <v>104.84099999999997</v>
      </c>
      <c r="P17" s="220">
        <f>P18+P19+P20+P21+P22</f>
        <v>8602.980045214497</v>
      </c>
      <c r="Q17" s="220">
        <f>Q18+Q19+Q20+Q21+Q22</f>
        <v>8923.101108981497</v>
      </c>
      <c r="R17" s="221">
        <f>Q17/P17*100</f>
        <v>103.72104854462694</v>
      </c>
      <c r="S17" s="220">
        <f>S18+S19+S20+S21+S22</f>
        <v>17526.081154195992</v>
      </c>
      <c r="T17" s="46">
        <f aca="true" t="shared" si="1" ref="T17:T58">S17/N17*100</f>
        <v>104.148</v>
      </c>
    </row>
    <row r="18" spans="1:20" ht="15.75">
      <c r="A18" s="9" t="s">
        <v>5</v>
      </c>
      <c r="B18" s="25" t="s">
        <v>6</v>
      </c>
      <c r="C18" s="13" t="s">
        <v>4</v>
      </c>
      <c r="D18" s="222">
        <v>444.1</v>
      </c>
      <c r="E18" s="222">
        <f>D18*1.051</f>
        <v>466.7491</v>
      </c>
      <c r="F18" s="223">
        <f>D18/2</f>
        <v>222.05</v>
      </c>
      <c r="G18" s="220">
        <f>F18*1.051</f>
        <v>233.37455</v>
      </c>
      <c r="H18" s="221">
        <f aca="true" t="shared" si="2" ref="H18:H58">G18/F18*100</f>
        <v>105.1</v>
      </c>
      <c r="I18" s="220">
        <f>F18+G18</f>
        <v>455.42455</v>
      </c>
      <c r="J18" s="221">
        <f aca="true" t="shared" si="3" ref="J18:J58">I18/D18*100</f>
        <v>102.55000000000001</v>
      </c>
      <c r="K18" s="220">
        <f>G18</f>
        <v>233.37455</v>
      </c>
      <c r="L18" s="220">
        <f>N18-K18</f>
        <v>244.09710246549992</v>
      </c>
      <c r="M18" s="221">
        <f aca="true" t="shared" si="4" ref="M18:M58">L18/K18*100</f>
        <v>104.59456803044715</v>
      </c>
      <c r="N18" s="222">
        <f>I18*D11</f>
        <v>477.4716524654999</v>
      </c>
      <c r="O18" s="46">
        <f t="shared" si="0"/>
        <v>104.84099999999998</v>
      </c>
      <c r="P18" s="224">
        <f>L18</f>
        <v>244.09710246549992</v>
      </c>
      <c r="Q18" s="224">
        <f>S18-P18</f>
        <v>253.18007414426893</v>
      </c>
      <c r="R18" s="221">
        <f aca="true" t="shared" si="5" ref="R18:R58">Q18/P18*100</f>
        <v>103.72104854462694</v>
      </c>
      <c r="S18" s="222">
        <f>N18*E11</f>
        <v>497.27717660976884</v>
      </c>
      <c r="T18" s="46">
        <f t="shared" si="1"/>
        <v>104.148</v>
      </c>
    </row>
    <row r="19" spans="1:20" ht="15.75">
      <c r="A19" s="9" t="s">
        <v>7</v>
      </c>
      <c r="B19" s="10" t="s">
        <v>8</v>
      </c>
      <c r="C19" s="13" t="s">
        <v>4</v>
      </c>
      <c r="D19" s="224">
        <v>6974</v>
      </c>
      <c r="E19" s="222">
        <f>D19*1.051</f>
        <v>7329.674</v>
      </c>
      <c r="F19" s="223">
        <f>D19/2</f>
        <v>3487</v>
      </c>
      <c r="G19" s="220">
        <f>E19/2</f>
        <v>3664.837</v>
      </c>
      <c r="H19" s="221">
        <f t="shared" si="2"/>
        <v>105.1</v>
      </c>
      <c r="I19" s="220">
        <f>F19+G19</f>
        <v>7151.8369999999995</v>
      </c>
      <c r="J19" s="221">
        <f t="shared" si="3"/>
        <v>102.54999999999998</v>
      </c>
      <c r="K19" s="220">
        <f>G19</f>
        <v>3664.837</v>
      </c>
      <c r="L19" s="220">
        <f>N19-K19</f>
        <v>3833.2204291699986</v>
      </c>
      <c r="M19" s="221">
        <f t="shared" si="4"/>
        <v>104.59456803044715</v>
      </c>
      <c r="N19" s="222">
        <f>I19*D11</f>
        <v>7498.057429169999</v>
      </c>
      <c r="O19" s="46">
        <f t="shared" si="0"/>
        <v>104.84099999999998</v>
      </c>
      <c r="P19" s="224">
        <f>L19</f>
        <v>3833.2204291699986</v>
      </c>
      <c r="Q19" s="224">
        <f aca="true" t="shared" si="6" ref="Q19:Q25">S19-P19</f>
        <v>3975.8564221619713</v>
      </c>
      <c r="R19" s="221">
        <f t="shared" si="5"/>
        <v>103.72104854462694</v>
      </c>
      <c r="S19" s="222">
        <f>N19*E11</f>
        <v>7809.07685133197</v>
      </c>
      <c r="T19" s="46">
        <f t="shared" si="1"/>
        <v>104.148</v>
      </c>
    </row>
    <row r="20" spans="1:20" ht="15.75">
      <c r="A20" s="9" t="s">
        <v>9</v>
      </c>
      <c r="B20" s="25" t="s">
        <v>10</v>
      </c>
      <c r="C20" s="13" t="s">
        <v>4</v>
      </c>
      <c r="D20" s="224">
        <v>7039</v>
      </c>
      <c r="E20" s="222">
        <f>D20*1.051</f>
        <v>7397.989</v>
      </c>
      <c r="F20" s="222">
        <f>D20/2</f>
        <v>3519.5</v>
      </c>
      <c r="G20" s="220">
        <f>E20/2</f>
        <v>3698.9945</v>
      </c>
      <c r="H20" s="221">
        <f t="shared" si="2"/>
        <v>105.1</v>
      </c>
      <c r="I20" s="220">
        <f>F20+G20</f>
        <v>7218.4945</v>
      </c>
      <c r="J20" s="221">
        <f t="shared" si="3"/>
        <v>102.55000000000001</v>
      </c>
      <c r="K20" s="220">
        <f>G20</f>
        <v>3698.9945</v>
      </c>
      <c r="L20" s="220">
        <f>N20-K20</f>
        <v>3868.9473187449985</v>
      </c>
      <c r="M20" s="221">
        <f t="shared" si="4"/>
        <v>104.59456803044715</v>
      </c>
      <c r="N20" s="222">
        <f>I20*D11</f>
        <v>7567.941818744998</v>
      </c>
      <c r="O20" s="46">
        <f t="shared" si="0"/>
        <v>104.84099999999998</v>
      </c>
      <c r="P20" s="224">
        <f>L20</f>
        <v>3868.9473187449985</v>
      </c>
      <c r="Q20" s="224">
        <f t="shared" si="6"/>
        <v>4012.9127266415417</v>
      </c>
      <c r="R20" s="221">
        <f t="shared" si="5"/>
        <v>103.72104854462691</v>
      </c>
      <c r="S20" s="222">
        <f>N20*E11</f>
        <v>7881.86004538654</v>
      </c>
      <c r="T20" s="46">
        <f t="shared" si="1"/>
        <v>104.148</v>
      </c>
    </row>
    <row r="21" spans="1:20" ht="15.75">
      <c r="A21" s="11" t="s">
        <v>11</v>
      </c>
      <c r="B21" s="25" t="s">
        <v>12</v>
      </c>
      <c r="C21" s="13" t="s">
        <v>4</v>
      </c>
      <c r="D21" s="224">
        <v>420.3</v>
      </c>
      <c r="E21" s="222">
        <f>D21*1.051</f>
        <v>441.7353</v>
      </c>
      <c r="F21" s="223">
        <f>D21/2</f>
        <v>210.15</v>
      </c>
      <c r="G21" s="220">
        <f>F21*1.051</f>
        <v>220.86765</v>
      </c>
      <c r="H21" s="221">
        <f t="shared" si="2"/>
        <v>105.1</v>
      </c>
      <c r="I21" s="220">
        <f>F21+G21</f>
        <v>431.01765</v>
      </c>
      <c r="J21" s="221">
        <f t="shared" si="3"/>
        <v>102.55000000000001</v>
      </c>
      <c r="K21" s="220">
        <f>G21</f>
        <v>220.86765</v>
      </c>
      <c r="L21" s="220">
        <f>N21-K21</f>
        <v>231.01556443649994</v>
      </c>
      <c r="M21" s="221">
        <f t="shared" si="4"/>
        <v>104.59456803044718</v>
      </c>
      <c r="N21" s="222">
        <f>I21*D11</f>
        <v>451.88321443649994</v>
      </c>
      <c r="O21" s="46">
        <f t="shared" si="0"/>
        <v>104.84099999999998</v>
      </c>
      <c r="P21" s="224">
        <f>L21</f>
        <v>231.01556443649994</v>
      </c>
      <c r="Q21" s="224">
        <f t="shared" si="6"/>
        <v>239.61176573482598</v>
      </c>
      <c r="R21" s="221">
        <f t="shared" si="5"/>
        <v>103.72104854462691</v>
      </c>
      <c r="S21" s="222">
        <f>N21*E11</f>
        <v>470.6273301713259</v>
      </c>
      <c r="T21" s="46">
        <f t="shared" si="1"/>
        <v>104.148</v>
      </c>
    </row>
    <row r="22" spans="1:20" ht="15.75">
      <c r="A22" s="11" t="s">
        <v>77</v>
      </c>
      <c r="B22" s="25" t="s">
        <v>19</v>
      </c>
      <c r="C22" s="13" t="s">
        <v>4</v>
      </c>
      <c r="D22" s="222">
        <v>774.5</v>
      </c>
      <c r="E22" s="222">
        <f>D22*1.051</f>
        <v>813.9994999999999</v>
      </c>
      <c r="F22" s="222">
        <f>D22/2</f>
        <v>387.25</v>
      </c>
      <c r="G22" s="220">
        <f>F22*1.051</f>
        <v>406.99974999999995</v>
      </c>
      <c r="H22" s="221">
        <f t="shared" si="2"/>
        <v>105.1</v>
      </c>
      <c r="I22" s="220">
        <f>F22+G22</f>
        <v>794.24975</v>
      </c>
      <c r="J22" s="221">
        <f t="shared" si="3"/>
        <v>102.54999999999998</v>
      </c>
      <c r="K22" s="220">
        <f>G22</f>
        <v>406.99974999999995</v>
      </c>
      <c r="L22" s="220">
        <f>N22-K22</f>
        <v>425.69963039749985</v>
      </c>
      <c r="M22" s="221">
        <f t="shared" si="4"/>
        <v>104.59456803044718</v>
      </c>
      <c r="N22" s="222">
        <f>I22*D11</f>
        <v>832.6993803974998</v>
      </c>
      <c r="O22" s="46">
        <f t="shared" si="0"/>
        <v>104.84099999999998</v>
      </c>
      <c r="P22" s="224">
        <f>L22</f>
        <v>425.69963039749985</v>
      </c>
      <c r="Q22" s="224">
        <f t="shared" si="6"/>
        <v>441.54012029888816</v>
      </c>
      <c r="R22" s="221">
        <f t="shared" si="5"/>
        <v>103.72104854462691</v>
      </c>
      <c r="S22" s="222">
        <f>N22*E11</f>
        <v>867.239750696388</v>
      </c>
      <c r="T22" s="46">
        <f t="shared" si="1"/>
        <v>104.148</v>
      </c>
    </row>
    <row r="23" spans="1:20" ht="15.75">
      <c r="A23" s="8">
        <v>2</v>
      </c>
      <c r="B23" s="24" t="s">
        <v>13</v>
      </c>
      <c r="C23" s="16" t="s">
        <v>4</v>
      </c>
      <c r="D23" s="224">
        <f>D24+D25+D26+D27+D31</f>
        <v>4407.1</v>
      </c>
      <c r="E23" s="224">
        <f>E24+E25+E26+E27+E31</f>
        <v>4253.162990000001</v>
      </c>
      <c r="F23" s="224">
        <f>F24+F25+F26+F27+F31</f>
        <v>2203.55</v>
      </c>
      <c r="G23" s="224">
        <f>G24+G25+G26+G27+G31</f>
        <v>2126.5814950000004</v>
      </c>
      <c r="H23" s="221">
        <f t="shared" si="2"/>
        <v>96.50706791314016</v>
      </c>
      <c r="I23" s="224">
        <f>I24+I25+I26+I27+I31</f>
        <v>4330.131495</v>
      </c>
      <c r="J23" s="221">
        <f t="shared" si="3"/>
        <v>98.25353395657007</v>
      </c>
      <c r="K23" s="224">
        <f>K24+K25+K26+K27+K31</f>
        <v>2126.5814950000004</v>
      </c>
      <c r="L23" s="224">
        <f>L24+L25+L26+L27+L31</f>
        <v>2323.321094889949</v>
      </c>
      <c r="M23" s="221">
        <f t="shared" si="4"/>
        <v>109.25144887945848</v>
      </c>
      <c r="N23" s="224">
        <f>N24+N25+N27+N31+N26</f>
        <v>4449.902589889949</v>
      </c>
      <c r="O23" s="46">
        <f t="shared" si="0"/>
        <v>102.76599209581161</v>
      </c>
      <c r="P23" s="224">
        <f>P24+P25+P26+P27+P31</f>
        <v>2323.321094889949</v>
      </c>
      <c r="Q23" s="224">
        <f>Q24+Q25+Q26+Q27+Q31</f>
        <v>2234.586783036919</v>
      </c>
      <c r="R23" s="221">
        <f t="shared" si="5"/>
        <v>96.1807125132984</v>
      </c>
      <c r="S23" s="224">
        <f>S24+S25+S27+S31+S26</f>
        <v>4557.9078779268675</v>
      </c>
      <c r="T23" s="48">
        <f t="shared" si="1"/>
        <v>102.42713825426884</v>
      </c>
    </row>
    <row r="24" spans="1:20" ht="15.75">
      <c r="A24" s="9" t="s">
        <v>14</v>
      </c>
      <c r="B24" s="25" t="s">
        <v>15</v>
      </c>
      <c r="C24" s="13" t="s">
        <v>4</v>
      </c>
      <c r="D24" s="223">
        <v>1899.6</v>
      </c>
      <c r="E24" s="223">
        <f>D24</f>
        <v>1899.6</v>
      </c>
      <c r="F24" s="223">
        <f>D24/2</f>
        <v>949.8</v>
      </c>
      <c r="G24" s="223">
        <f>F24</f>
        <v>949.8</v>
      </c>
      <c r="H24" s="221">
        <f t="shared" si="2"/>
        <v>100</v>
      </c>
      <c r="I24" s="220">
        <f aca="true" t="shared" si="7" ref="I24:I31">F24+G24</f>
        <v>1899.6</v>
      </c>
      <c r="J24" s="221">
        <f t="shared" si="3"/>
        <v>100</v>
      </c>
      <c r="K24" s="220">
        <f>G24</f>
        <v>949.8</v>
      </c>
      <c r="L24" s="220">
        <f>N24-K24</f>
        <v>949.8</v>
      </c>
      <c r="M24" s="221">
        <f t="shared" si="4"/>
        <v>100</v>
      </c>
      <c r="N24" s="222">
        <f>I24</f>
        <v>1899.6</v>
      </c>
      <c r="O24" s="46">
        <f t="shared" si="0"/>
        <v>100</v>
      </c>
      <c r="P24" s="224">
        <f>L24</f>
        <v>949.8</v>
      </c>
      <c r="Q24" s="224">
        <f t="shared" si="6"/>
        <v>949.8</v>
      </c>
      <c r="R24" s="221">
        <f t="shared" si="5"/>
        <v>100</v>
      </c>
      <c r="S24" s="222">
        <f>N24</f>
        <v>1899.6</v>
      </c>
      <c r="T24" s="48">
        <f t="shared" si="1"/>
        <v>100</v>
      </c>
    </row>
    <row r="25" spans="1:20" ht="15.75">
      <c r="A25" s="9" t="s">
        <v>16</v>
      </c>
      <c r="B25" s="26" t="s">
        <v>17</v>
      </c>
      <c r="C25" s="13" t="s">
        <v>4</v>
      </c>
      <c r="D25" s="222">
        <v>2175.89</v>
      </c>
      <c r="E25" s="222">
        <f>D25*1.051</f>
        <v>2286.86039</v>
      </c>
      <c r="F25" s="222">
        <f aca="true" t="shared" si="8" ref="F25:F31">D25/2</f>
        <v>1087.945</v>
      </c>
      <c r="G25" s="220">
        <f>E25/2</f>
        <v>1143.430195</v>
      </c>
      <c r="H25" s="221">
        <f t="shared" si="2"/>
        <v>105.1</v>
      </c>
      <c r="I25" s="220">
        <f t="shared" si="7"/>
        <v>2231.3751949999996</v>
      </c>
      <c r="J25" s="221">
        <f t="shared" si="3"/>
        <v>102.54999999999998</v>
      </c>
      <c r="K25" s="220">
        <f>G25</f>
        <v>1143.430195</v>
      </c>
      <c r="L25" s="220">
        <f>N25-K25</f>
        <v>1195.9658731899494</v>
      </c>
      <c r="M25" s="221">
        <f t="shared" si="4"/>
        <v>104.59456803044715</v>
      </c>
      <c r="N25" s="222">
        <f>I25*D11</f>
        <v>2339.3960681899493</v>
      </c>
      <c r="O25" s="46">
        <f t="shared" si="0"/>
        <v>104.84099999999998</v>
      </c>
      <c r="P25" s="224">
        <f>L25</f>
        <v>1195.9658731899494</v>
      </c>
      <c r="Q25" s="224">
        <f t="shared" si="6"/>
        <v>1240.4683439085188</v>
      </c>
      <c r="R25" s="221">
        <f t="shared" si="5"/>
        <v>103.72104854462694</v>
      </c>
      <c r="S25" s="222">
        <f>N25*E11</f>
        <v>2436.4342170984683</v>
      </c>
      <c r="T25" s="46">
        <f t="shared" si="1"/>
        <v>104.148</v>
      </c>
    </row>
    <row r="26" spans="1:20" ht="15.75" hidden="1">
      <c r="A26" s="9"/>
      <c r="B26" s="26"/>
      <c r="C26" s="13"/>
      <c r="D26" s="223"/>
      <c r="E26" s="222">
        <f>D26*1.051</f>
        <v>0</v>
      </c>
      <c r="F26" s="223">
        <f t="shared" si="8"/>
        <v>0</v>
      </c>
      <c r="G26" s="220">
        <f>F26*1.051</f>
        <v>0</v>
      </c>
      <c r="H26" s="221" t="e">
        <f t="shared" si="2"/>
        <v>#DIV/0!</v>
      </c>
      <c r="I26" s="220">
        <f t="shared" si="7"/>
        <v>0</v>
      </c>
      <c r="J26" s="221" t="e">
        <f t="shared" si="3"/>
        <v>#DIV/0!</v>
      </c>
      <c r="K26" s="220"/>
      <c r="L26" s="220"/>
      <c r="M26" s="221" t="e">
        <f t="shared" si="4"/>
        <v>#DIV/0!</v>
      </c>
      <c r="N26" s="222"/>
      <c r="O26" s="46" t="e">
        <f t="shared" si="0"/>
        <v>#DIV/0!</v>
      </c>
      <c r="P26" s="224"/>
      <c r="Q26" s="224"/>
      <c r="R26" s="221" t="e">
        <f t="shared" si="5"/>
        <v>#DIV/0!</v>
      </c>
      <c r="S26" s="222"/>
      <c r="T26" s="46"/>
    </row>
    <row r="27" spans="1:20" ht="15.75">
      <c r="A27" s="9" t="s">
        <v>18</v>
      </c>
      <c r="B27" s="26" t="s">
        <v>20</v>
      </c>
      <c r="C27" s="13" t="s">
        <v>4</v>
      </c>
      <c r="D27" s="222">
        <v>52.6</v>
      </c>
      <c r="E27" s="222">
        <f>E28+E29+E30</f>
        <v>55.2826</v>
      </c>
      <c r="F27" s="223">
        <f>F28+F29+F30</f>
        <v>26.3</v>
      </c>
      <c r="G27" s="222">
        <f>G28+G29+G30</f>
        <v>27.6413</v>
      </c>
      <c r="H27" s="221">
        <f t="shared" si="2"/>
        <v>105.1</v>
      </c>
      <c r="I27" s="220">
        <f t="shared" si="7"/>
        <v>53.9413</v>
      </c>
      <c r="J27" s="221">
        <f t="shared" si="3"/>
        <v>102.54999999999998</v>
      </c>
      <c r="K27" s="222">
        <f>K28+K29+K30</f>
        <v>27.6413</v>
      </c>
      <c r="L27" s="222">
        <f>L28+L29+L30</f>
        <v>29.482536699999994</v>
      </c>
      <c r="M27" s="221">
        <f t="shared" si="4"/>
        <v>106.6611798287345</v>
      </c>
      <c r="N27" s="224">
        <f>N28+N29+N30</f>
        <v>57.12383669999999</v>
      </c>
      <c r="O27" s="46">
        <f t="shared" si="0"/>
        <v>105.89999999999999</v>
      </c>
      <c r="P27" s="222">
        <f>P28+P29+P30</f>
        <v>29.482536699999994</v>
      </c>
      <c r="Q27" s="222">
        <f>Q28+Q29+Q30</f>
        <v>30.6117395084</v>
      </c>
      <c r="R27" s="221">
        <f t="shared" si="5"/>
        <v>103.83007344276453</v>
      </c>
      <c r="S27" s="224">
        <f>S28+S29+S30</f>
        <v>60.09427620839999</v>
      </c>
      <c r="T27" s="46">
        <f t="shared" si="1"/>
        <v>105.2</v>
      </c>
    </row>
    <row r="28" spans="1:20" ht="15.75">
      <c r="A28" s="9" t="s">
        <v>78</v>
      </c>
      <c r="B28" s="26" t="s">
        <v>21</v>
      </c>
      <c r="C28" s="13" t="s">
        <v>4</v>
      </c>
      <c r="D28" s="223">
        <v>40.2</v>
      </c>
      <c r="E28" s="222">
        <f>D28*1.051</f>
        <v>42.2502</v>
      </c>
      <c r="F28" s="223">
        <f t="shared" si="8"/>
        <v>20.1</v>
      </c>
      <c r="G28" s="220">
        <f>F28*1.051</f>
        <v>21.1251</v>
      </c>
      <c r="H28" s="221">
        <f t="shared" si="2"/>
        <v>105.1</v>
      </c>
      <c r="I28" s="220">
        <f t="shared" si="7"/>
        <v>41.2251</v>
      </c>
      <c r="J28" s="221">
        <f t="shared" si="3"/>
        <v>102.54999999999998</v>
      </c>
      <c r="K28" s="220">
        <f>G28</f>
        <v>21.1251</v>
      </c>
      <c r="L28" s="220">
        <f>N28-K28</f>
        <v>22.532280899999993</v>
      </c>
      <c r="M28" s="221">
        <f t="shared" si="4"/>
        <v>106.6611798287345</v>
      </c>
      <c r="N28" s="224">
        <f>I28*D7</f>
        <v>43.65738089999999</v>
      </c>
      <c r="O28" s="46">
        <f t="shared" si="0"/>
        <v>105.89999999999999</v>
      </c>
      <c r="P28" s="224">
        <f>L28</f>
        <v>22.532280899999993</v>
      </c>
      <c r="Q28" s="224">
        <f>S28-P28</f>
        <v>23.3952838068</v>
      </c>
      <c r="R28" s="221">
        <f t="shared" si="5"/>
        <v>103.83007344276453</v>
      </c>
      <c r="S28" s="224">
        <f>N28*E7</f>
        <v>45.92756470679999</v>
      </c>
      <c r="T28" s="46">
        <f t="shared" si="1"/>
        <v>105.2</v>
      </c>
    </row>
    <row r="29" spans="1:20" ht="15.75">
      <c r="A29" s="9" t="s">
        <v>79</v>
      </c>
      <c r="B29" s="26" t="s">
        <v>22</v>
      </c>
      <c r="C29" s="13" t="s">
        <v>4</v>
      </c>
      <c r="D29" s="223"/>
      <c r="E29" s="222"/>
      <c r="F29" s="223"/>
      <c r="G29" s="220"/>
      <c r="H29" s="221"/>
      <c r="I29" s="220"/>
      <c r="J29" s="221"/>
      <c r="K29" s="220"/>
      <c r="L29" s="220"/>
      <c r="M29" s="221"/>
      <c r="N29" s="224"/>
      <c r="O29" s="46"/>
      <c r="P29" s="224"/>
      <c r="Q29" s="224"/>
      <c r="R29" s="221"/>
      <c r="S29" s="224"/>
      <c r="T29" s="46"/>
    </row>
    <row r="30" spans="1:20" ht="15.75">
      <c r="A30" s="9" t="s">
        <v>80</v>
      </c>
      <c r="B30" s="26" t="s">
        <v>23</v>
      </c>
      <c r="C30" s="13" t="s">
        <v>4</v>
      </c>
      <c r="D30" s="223">
        <v>12.4</v>
      </c>
      <c r="E30" s="222">
        <f>D30*1.051</f>
        <v>13.032399999999999</v>
      </c>
      <c r="F30" s="223">
        <f t="shared" si="8"/>
        <v>6.2</v>
      </c>
      <c r="G30" s="220">
        <f>F30*1.051</f>
        <v>6.5161999999999995</v>
      </c>
      <c r="H30" s="221">
        <f t="shared" si="2"/>
        <v>105.1</v>
      </c>
      <c r="I30" s="220">
        <f t="shared" si="7"/>
        <v>12.7162</v>
      </c>
      <c r="J30" s="221">
        <f t="shared" si="3"/>
        <v>102.55000000000001</v>
      </c>
      <c r="K30" s="220">
        <f>G30</f>
        <v>6.5161999999999995</v>
      </c>
      <c r="L30" s="220">
        <f>N30-K30</f>
        <v>6.950255800000001</v>
      </c>
      <c r="M30" s="221">
        <f t="shared" si="4"/>
        <v>106.66117982873456</v>
      </c>
      <c r="N30" s="224">
        <f>I30*D7</f>
        <v>13.4664558</v>
      </c>
      <c r="O30" s="46">
        <f t="shared" si="0"/>
        <v>105.89999999999999</v>
      </c>
      <c r="P30" s="224">
        <f>L30</f>
        <v>6.950255800000001</v>
      </c>
      <c r="Q30" s="224">
        <f>S30-P30</f>
        <v>7.216455701600001</v>
      </c>
      <c r="R30" s="221">
        <f t="shared" si="5"/>
        <v>103.83007344276452</v>
      </c>
      <c r="S30" s="224">
        <f>N30*E7</f>
        <v>14.166711501600002</v>
      </c>
      <c r="T30" s="46">
        <f t="shared" si="1"/>
        <v>105.2</v>
      </c>
    </row>
    <row r="31" spans="1:20" ht="15.75">
      <c r="A31" s="9" t="s">
        <v>211</v>
      </c>
      <c r="B31" s="25" t="s">
        <v>25</v>
      </c>
      <c r="C31" s="13" t="s">
        <v>4</v>
      </c>
      <c r="D31" s="223">
        <v>279.01</v>
      </c>
      <c r="E31" s="222">
        <v>11.42</v>
      </c>
      <c r="F31" s="223">
        <f t="shared" si="8"/>
        <v>139.505</v>
      </c>
      <c r="G31" s="220">
        <f>E31/2</f>
        <v>5.71</v>
      </c>
      <c r="H31" s="221">
        <f t="shared" si="2"/>
        <v>4.093043260098204</v>
      </c>
      <c r="I31" s="220">
        <f t="shared" si="7"/>
        <v>145.215</v>
      </c>
      <c r="J31" s="221">
        <f t="shared" si="3"/>
        <v>52.0465216300491</v>
      </c>
      <c r="K31" s="220">
        <f>G31</f>
        <v>5.71</v>
      </c>
      <c r="L31" s="220">
        <f>N31-K31</f>
        <v>148.07268499999998</v>
      </c>
      <c r="M31" s="221">
        <f t="shared" si="4"/>
        <v>2593.216900175131</v>
      </c>
      <c r="N31" s="224">
        <f>I31*D7</f>
        <v>153.782685</v>
      </c>
      <c r="O31" s="46">
        <f t="shared" si="0"/>
        <v>105.89999999999999</v>
      </c>
      <c r="P31" s="224">
        <f>L31</f>
        <v>148.07268499999998</v>
      </c>
      <c r="Q31" s="224">
        <f>S31-P31</f>
        <v>13.706699620000023</v>
      </c>
      <c r="R31" s="221">
        <f t="shared" si="5"/>
        <v>9.25673740568696</v>
      </c>
      <c r="S31" s="224">
        <f>N31*E7</f>
        <v>161.77938462</v>
      </c>
      <c r="T31" s="49">
        <f>S31/N31*100</f>
        <v>105.2</v>
      </c>
    </row>
    <row r="32" spans="1:20" ht="15.75">
      <c r="A32" s="8">
        <v>3</v>
      </c>
      <c r="B32" s="27" t="s">
        <v>26</v>
      </c>
      <c r="C32" s="16" t="s">
        <v>4</v>
      </c>
      <c r="D32" s="224">
        <f>D17+D23</f>
        <v>20059</v>
      </c>
      <c r="E32" s="224">
        <f>E17+E23</f>
        <v>20703.30989</v>
      </c>
      <c r="F32" s="224">
        <f>F17+F23</f>
        <v>10029.5</v>
      </c>
      <c r="G32" s="224">
        <f>G17+G23</f>
        <v>10351.654945</v>
      </c>
      <c r="H32" s="221">
        <f t="shared" si="2"/>
        <v>103.21207383219502</v>
      </c>
      <c r="I32" s="224">
        <f>I17+I23</f>
        <v>20381.154945000002</v>
      </c>
      <c r="J32" s="221">
        <f t="shared" si="3"/>
        <v>101.60603691609754</v>
      </c>
      <c r="K32" s="224">
        <f>K17+K23</f>
        <v>10351.654945</v>
      </c>
      <c r="L32" s="224">
        <f>L17+L23</f>
        <v>10926.301140104446</v>
      </c>
      <c r="M32" s="221">
        <f t="shared" si="4"/>
        <v>105.55124951669693</v>
      </c>
      <c r="N32" s="224">
        <f>N17+N23</f>
        <v>21277.956085104444</v>
      </c>
      <c r="O32" s="46">
        <f t="shared" si="0"/>
        <v>104.40014877726273</v>
      </c>
      <c r="P32" s="224">
        <f>P17+P23</f>
        <v>10926.301140104446</v>
      </c>
      <c r="Q32" s="224">
        <f>S32-P32</f>
        <v>11157.687892018414</v>
      </c>
      <c r="R32" s="221">
        <f t="shared" si="5"/>
        <v>102.11770432598341</v>
      </c>
      <c r="S32" s="224">
        <f>S17+S23</f>
        <v>22083.98903212286</v>
      </c>
      <c r="T32" s="46">
        <f t="shared" si="1"/>
        <v>103.78811265421623</v>
      </c>
    </row>
    <row r="33" spans="1:20" ht="30" customHeight="1">
      <c r="A33" s="12">
        <v>4</v>
      </c>
      <c r="B33" s="31" t="s">
        <v>27</v>
      </c>
      <c r="C33" s="13" t="s">
        <v>28</v>
      </c>
      <c r="D33" s="224">
        <f>D53/D52*100</f>
        <v>5.1986989423374785</v>
      </c>
      <c r="E33" s="225">
        <f>D33</f>
        <v>5.1986989423374785</v>
      </c>
      <c r="F33" s="224">
        <f>F53/F52*100</f>
        <v>5.1986989423374785</v>
      </c>
      <c r="G33" s="224">
        <f>G53/G52*100</f>
        <v>5.1986989423374785</v>
      </c>
      <c r="H33" s="221"/>
      <c r="I33" s="224">
        <f>I53/I52*100</f>
        <v>5.1986989423374785</v>
      </c>
      <c r="J33" s="221"/>
      <c r="K33" s="220">
        <f>G33</f>
        <v>5.1986989423374785</v>
      </c>
      <c r="L33" s="220">
        <f>K33</f>
        <v>5.1986989423374785</v>
      </c>
      <c r="M33" s="221"/>
      <c r="N33" s="224">
        <f>I33</f>
        <v>5.1986989423374785</v>
      </c>
      <c r="O33" s="46"/>
      <c r="P33" s="224">
        <f>L33</f>
        <v>5.1986989423374785</v>
      </c>
      <c r="Q33" s="224">
        <f>P33</f>
        <v>5.1986989423374785</v>
      </c>
      <c r="R33" s="221"/>
      <c r="S33" s="224">
        <f>S53/S52*100</f>
        <v>5.1986989423374785</v>
      </c>
      <c r="T33" s="48"/>
    </row>
    <row r="34" spans="1:20" ht="25.5">
      <c r="A34" s="14">
        <v>5</v>
      </c>
      <c r="B34" s="15" t="s">
        <v>212</v>
      </c>
      <c r="C34" s="16" t="s">
        <v>4</v>
      </c>
      <c r="D34" s="224">
        <f>D32*D33/100+0.26</f>
        <v>1043.0670208434747</v>
      </c>
      <c r="E34" s="224">
        <f>E32*E33/100</f>
        <v>1076.3027522802806</v>
      </c>
      <c r="F34" s="224">
        <f>D34*1/2</f>
        <v>521.5335104217373</v>
      </c>
      <c r="G34" s="224">
        <f>G32*G33/100</f>
        <v>538.1513761401403</v>
      </c>
      <c r="H34" s="221">
        <f>G34/F34*100</f>
        <v>103.18634668460038</v>
      </c>
      <c r="I34" s="226">
        <f>I32*I33/100</f>
        <v>1059.5548865618778</v>
      </c>
      <c r="J34" s="221">
        <f t="shared" si="3"/>
        <v>101.58071009713932</v>
      </c>
      <c r="K34" s="226">
        <f>K32*K33/100</f>
        <v>538.1513761401403</v>
      </c>
      <c r="L34" s="226">
        <f>L32*L33/100</f>
        <v>568.0255018072177</v>
      </c>
      <c r="M34" s="221">
        <f t="shared" si="4"/>
        <v>105.55124951669693</v>
      </c>
      <c r="N34" s="224">
        <f>N32*N33/100</f>
        <v>1106.1768779473578</v>
      </c>
      <c r="O34" s="46">
        <f>N34/I34*100</f>
        <v>104.40014877726273</v>
      </c>
      <c r="P34" s="224">
        <f>P32*P33/100</f>
        <v>568.0255018072177</v>
      </c>
      <c r="Q34" s="224">
        <f>Q32*Q33/100</f>
        <v>580.0546024316782</v>
      </c>
      <c r="R34" s="221">
        <f t="shared" si="5"/>
        <v>102.11770432598341</v>
      </c>
      <c r="S34" s="224">
        <f>S32*S33/100</f>
        <v>1148.080104238896</v>
      </c>
      <c r="T34" s="46">
        <f t="shared" si="1"/>
        <v>103.78811265421626</v>
      </c>
    </row>
    <row r="35" spans="1:20" ht="25.5">
      <c r="A35" s="12" t="s">
        <v>213</v>
      </c>
      <c r="B35" s="10" t="s">
        <v>214</v>
      </c>
      <c r="C35" s="13" t="s">
        <v>4</v>
      </c>
      <c r="D35" s="226"/>
      <c r="E35" s="227"/>
      <c r="F35" s="220"/>
      <c r="G35" s="220"/>
      <c r="H35" s="221"/>
      <c r="I35" s="224">
        <f>I17*I33/100</f>
        <v>834.4443863294906</v>
      </c>
      <c r="J35" s="221"/>
      <c r="K35" s="224"/>
      <c r="L35" s="224"/>
      <c r="M35" s="221"/>
      <c r="N35" s="224"/>
      <c r="O35" s="46"/>
      <c r="P35" s="224"/>
      <c r="Q35" s="224"/>
      <c r="R35" s="221"/>
      <c r="S35" s="224"/>
      <c r="T35" s="46"/>
    </row>
    <row r="36" spans="1:20" ht="14.25" customHeight="1">
      <c r="A36" s="12">
        <v>6</v>
      </c>
      <c r="B36" s="10" t="s">
        <v>35</v>
      </c>
      <c r="C36" s="13" t="s">
        <v>4</v>
      </c>
      <c r="D36" s="223"/>
      <c r="E36" s="228"/>
      <c r="F36" s="228"/>
      <c r="G36" s="229"/>
      <c r="H36" s="230"/>
      <c r="I36" s="229"/>
      <c r="J36" s="221"/>
      <c r="K36" s="220"/>
      <c r="L36" s="220"/>
      <c r="M36" s="221"/>
      <c r="N36" s="224"/>
      <c r="O36" s="46"/>
      <c r="P36" s="224"/>
      <c r="Q36" s="224"/>
      <c r="R36" s="221"/>
      <c r="S36" s="222"/>
      <c r="T36" s="46"/>
    </row>
    <row r="37" spans="1:20" ht="15" customHeight="1">
      <c r="A37" s="12">
        <v>7</v>
      </c>
      <c r="B37" s="36" t="s">
        <v>24</v>
      </c>
      <c r="C37" s="13" t="s">
        <v>4</v>
      </c>
      <c r="D37" s="223"/>
      <c r="E37" s="223"/>
      <c r="F37" s="223"/>
      <c r="G37" s="220"/>
      <c r="H37" s="221"/>
      <c r="I37" s="220"/>
      <c r="J37" s="221"/>
      <c r="K37" s="220"/>
      <c r="L37" s="220"/>
      <c r="M37" s="221"/>
      <c r="N37" s="224"/>
      <c r="O37" s="46"/>
      <c r="P37" s="224"/>
      <c r="Q37" s="224"/>
      <c r="R37" s="221"/>
      <c r="S37" s="222"/>
      <c r="T37" s="46"/>
    </row>
    <row r="38" spans="1:20" ht="18" customHeight="1">
      <c r="A38" s="12">
        <v>8</v>
      </c>
      <c r="B38" s="15" t="s">
        <v>36</v>
      </c>
      <c r="C38" s="16" t="s">
        <v>4</v>
      </c>
      <c r="D38" s="224">
        <f>D34+D36+D37</f>
        <v>1043.0670208434747</v>
      </c>
      <c r="E38" s="224">
        <f>E34+E36+E37</f>
        <v>1076.3027522802806</v>
      </c>
      <c r="F38" s="224">
        <f>F34+F36+F37</f>
        <v>521.5335104217373</v>
      </c>
      <c r="G38" s="224">
        <f>G34+G36+G37</f>
        <v>538.1513761401403</v>
      </c>
      <c r="H38" s="221">
        <f t="shared" si="2"/>
        <v>103.18634668460038</v>
      </c>
      <c r="I38" s="226">
        <f>I34+I36+I37</f>
        <v>1059.5548865618778</v>
      </c>
      <c r="J38" s="221">
        <f t="shared" si="3"/>
        <v>101.58071009713932</v>
      </c>
      <c r="K38" s="226">
        <f>K34+K36+K37</f>
        <v>538.1513761401403</v>
      </c>
      <c r="L38" s="226">
        <f>L34+L36+L37</f>
        <v>568.0255018072177</v>
      </c>
      <c r="M38" s="221">
        <f t="shared" si="4"/>
        <v>105.55124951669693</v>
      </c>
      <c r="N38" s="224">
        <f>N34+N36+N37</f>
        <v>1106.1768779473578</v>
      </c>
      <c r="O38" s="46">
        <f>N38/I38*100</f>
        <v>104.40014877726273</v>
      </c>
      <c r="P38" s="224">
        <f>P34+P36+P37</f>
        <v>568.0255018072177</v>
      </c>
      <c r="Q38" s="224">
        <f>Q34+Q36+Q37</f>
        <v>580.0546024316782</v>
      </c>
      <c r="R38" s="221">
        <f t="shared" si="5"/>
        <v>102.11770432598341</v>
      </c>
      <c r="S38" s="224">
        <f>S34+S36+S37</f>
        <v>1148.080104238896</v>
      </c>
      <c r="T38" s="46">
        <f t="shared" si="1"/>
        <v>103.78811265421626</v>
      </c>
    </row>
    <row r="39" spans="1:20" ht="13.5" customHeight="1">
      <c r="A39" s="14" t="s">
        <v>215</v>
      </c>
      <c r="B39" s="15" t="s">
        <v>67</v>
      </c>
      <c r="C39" s="16" t="s">
        <v>28</v>
      </c>
      <c r="D39" s="226">
        <v>10</v>
      </c>
      <c r="E39" s="226">
        <f>D39</f>
        <v>10</v>
      </c>
      <c r="F39" s="226">
        <f>D39</f>
        <v>10</v>
      </c>
      <c r="G39" s="227">
        <f>D39</f>
        <v>10</v>
      </c>
      <c r="H39" s="221"/>
      <c r="I39" s="227">
        <f>D39</f>
        <v>10</v>
      </c>
      <c r="J39" s="221">
        <f t="shared" si="3"/>
        <v>100</v>
      </c>
      <c r="K39" s="227">
        <f>G39</f>
        <v>10</v>
      </c>
      <c r="L39" s="227">
        <f>K39</f>
        <v>10</v>
      </c>
      <c r="M39" s="221">
        <f t="shared" si="4"/>
        <v>100</v>
      </c>
      <c r="N39" s="224">
        <f>D39</f>
        <v>10</v>
      </c>
      <c r="O39" s="46"/>
      <c r="P39" s="224">
        <f>L39</f>
        <v>10</v>
      </c>
      <c r="Q39" s="224">
        <f>P39</f>
        <v>10</v>
      </c>
      <c r="R39" s="221">
        <f t="shared" si="5"/>
        <v>100</v>
      </c>
      <c r="S39" s="224">
        <f>D39</f>
        <v>10</v>
      </c>
      <c r="T39" s="46"/>
    </row>
    <row r="40" spans="1:20" ht="15.75">
      <c r="A40" s="14" t="s">
        <v>60</v>
      </c>
      <c r="B40" s="27" t="s">
        <v>30</v>
      </c>
      <c r="C40" s="16" t="s">
        <v>4</v>
      </c>
      <c r="D40" s="222">
        <f>D38*D39/100</f>
        <v>104.30670208434748</v>
      </c>
      <c r="E40" s="222">
        <f>E38*E39/100</f>
        <v>107.63027522802805</v>
      </c>
      <c r="F40" s="222">
        <f>F38*F39/100</f>
        <v>52.15335104217374</v>
      </c>
      <c r="G40" s="222">
        <f>G38*G39/100</f>
        <v>53.81513761401403</v>
      </c>
      <c r="H40" s="221">
        <f t="shared" si="2"/>
        <v>103.18634668460037</v>
      </c>
      <c r="I40" s="220">
        <f>F40+G40</f>
        <v>105.96848865618776</v>
      </c>
      <c r="J40" s="221">
        <f t="shared" si="3"/>
        <v>101.59317334230018</v>
      </c>
      <c r="K40" s="222">
        <f>K38*K39/100</f>
        <v>53.81513761401403</v>
      </c>
      <c r="L40" s="222">
        <f>L38*L39/100</f>
        <v>56.80255018072177</v>
      </c>
      <c r="M40" s="221">
        <f t="shared" si="4"/>
        <v>105.55124951669693</v>
      </c>
      <c r="N40" s="222">
        <f>N38*N39/100</f>
        <v>110.61768779473577</v>
      </c>
      <c r="O40" s="46">
        <f>N40/I40*100</f>
        <v>104.3873411780291</v>
      </c>
      <c r="P40" s="222">
        <f>P38*P39/100</f>
        <v>56.80255018072177</v>
      </c>
      <c r="Q40" s="222">
        <f>Q38*Q39/100</f>
        <v>58.00546024316782</v>
      </c>
      <c r="R40" s="221">
        <f t="shared" si="5"/>
        <v>102.11770432598341</v>
      </c>
      <c r="S40" s="222">
        <f>S38*S39/100</f>
        <v>114.80801042388958</v>
      </c>
      <c r="T40" s="46">
        <f t="shared" si="1"/>
        <v>103.78811265421626</v>
      </c>
    </row>
    <row r="41" spans="1:20" ht="25.5">
      <c r="A41" s="12" t="s">
        <v>68</v>
      </c>
      <c r="B41" s="10" t="s">
        <v>31</v>
      </c>
      <c r="C41" s="13" t="s">
        <v>4</v>
      </c>
      <c r="D41" s="231"/>
      <c r="E41" s="231"/>
      <c r="F41" s="223"/>
      <c r="G41" s="220"/>
      <c r="H41" s="221"/>
      <c r="I41" s="220"/>
      <c r="J41" s="221"/>
      <c r="K41" s="220"/>
      <c r="L41" s="220"/>
      <c r="M41" s="221"/>
      <c r="N41" s="231"/>
      <c r="O41" s="46"/>
      <c r="P41" s="224"/>
      <c r="Q41" s="224"/>
      <c r="R41" s="221"/>
      <c r="S41" s="231"/>
      <c r="T41" s="46"/>
    </row>
    <row r="42" spans="1:20" ht="15.75">
      <c r="A42" s="12" t="s">
        <v>69</v>
      </c>
      <c r="B42" s="26" t="s">
        <v>32</v>
      </c>
      <c r="C42" s="13" t="s">
        <v>4</v>
      </c>
      <c r="D42" s="224">
        <f>D40*0.2</f>
        <v>20.861340416869496</v>
      </c>
      <c r="E42" s="224">
        <f aca="true" t="shared" si="9" ref="E42:S42">E40*0.2</f>
        <v>21.526055045605613</v>
      </c>
      <c r="F42" s="224">
        <f t="shared" si="9"/>
        <v>10.430670208434748</v>
      </c>
      <c r="G42" s="224">
        <f t="shared" si="9"/>
        <v>10.763027522802807</v>
      </c>
      <c r="H42" s="221">
        <f t="shared" si="2"/>
        <v>103.18634668460037</v>
      </c>
      <c r="I42" s="224">
        <f t="shared" si="9"/>
        <v>21.193697731237553</v>
      </c>
      <c r="J42" s="221">
        <f t="shared" si="3"/>
        <v>101.59317334230018</v>
      </c>
      <c r="K42" s="224">
        <f t="shared" si="9"/>
        <v>10.763027522802807</v>
      </c>
      <c r="L42" s="224">
        <f t="shared" si="9"/>
        <v>11.360510036144355</v>
      </c>
      <c r="M42" s="221">
        <f t="shared" si="4"/>
        <v>105.55124951669693</v>
      </c>
      <c r="N42" s="224">
        <f t="shared" si="9"/>
        <v>22.123537558947156</v>
      </c>
      <c r="O42" s="46">
        <f>N42/I42*100</f>
        <v>104.3873411780291</v>
      </c>
      <c r="P42" s="224">
        <f t="shared" si="9"/>
        <v>11.360510036144355</v>
      </c>
      <c r="Q42" s="224">
        <f t="shared" si="9"/>
        <v>11.601092048633564</v>
      </c>
      <c r="R42" s="221">
        <f t="shared" si="5"/>
        <v>102.11770432598341</v>
      </c>
      <c r="S42" s="224">
        <f t="shared" si="9"/>
        <v>22.96160208477792</v>
      </c>
      <c r="T42" s="46">
        <f t="shared" si="1"/>
        <v>103.78811265421626</v>
      </c>
    </row>
    <row r="43" spans="1:20" ht="15.75">
      <c r="A43" s="12" t="s">
        <v>70</v>
      </c>
      <c r="B43" s="25" t="s">
        <v>33</v>
      </c>
      <c r="C43" s="13" t="s">
        <v>4</v>
      </c>
      <c r="D43" s="224">
        <f>D40-D41-D42</f>
        <v>83.44536166747798</v>
      </c>
      <c r="E43" s="224">
        <f>E40-E41-E42</f>
        <v>86.10422018242244</v>
      </c>
      <c r="F43" s="224">
        <f>F40-F41-F42</f>
        <v>41.72268083373899</v>
      </c>
      <c r="G43" s="224">
        <f>G40-G41-G42</f>
        <v>43.05211009121122</v>
      </c>
      <c r="H43" s="221">
        <f t="shared" si="2"/>
        <v>103.18634668460034</v>
      </c>
      <c r="I43" s="220">
        <f>F43+G43</f>
        <v>84.77479092495021</v>
      </c>
      <c r="J43" s="221">
        <f t="shared" si="3"/>
        <v>101.59317334230018</v>
      </c>
      <c r="K43" s="224">
        <f>K40-K41-K42</f>
        <v>43.05211009121122</v>
      </c>
      <c r="L43" s="224">
        <f>L40-L41-L42</f>
        <v>45.44204014457741</v>
      </c>
      <c r="M43" s="221">
        <f t="shared" si="4"/>
        <v>105.55124951669693</v>
      </c>
      <c r="N43" s="224">
        <f>N40-N41-N42</f>
        <v>88.49415023578862</v>
      </c>
      <c r="O43" s="46">
        <f aca="true" t="shared" si="10" ref="O43:O50">N43/I43*100</f>
        <v>104.3873411780291</v>
      </c>
      <c r="P43" s="224">
        <f>P40-P41-P42</f>
        <v>45.44204014457741</v>
      </c>
      <c r="Q43" s="224">
        <f>Q40-Q41-Q42</f>
        <v>46.40436819453426</v>
      </c>
      <c r="R43" s="221">
        <f t="shared" si="5"/>
        <v>102.11770432598344</v>
      </c>
      <c r="S43" s="224">
        <f>S40-S41-S42</f>
        <v>91.84640833911166</v>
      </c>
      <c r="T43" s="46">
        <f t="shared" si="1"/>
        <v>103.78811265421623</v>
      </c>
    </row>
    <row r="44" spans="1:20" ht="25.5">
      <c r="A44" s="14" t="s">
        <v>61</v>
      </c>
      <c r="B44" s="17" t="s">
        <v>34</v>
      </c>
      <c r="C44" s="16" t="s">
        <v>4</v>
      </c>
      <c r="D44" s="232">
        <f>D38+D40</f>
        <v>1147.3737229278222</v>
      </c>
      <c r="E44" s="232">
        <f>E38+E40</f>
        <v>1183.9330275083087</v>
      </c>
      <c r="F44" s="232">
        <f>F38+F40</f>
        <v>573.6868614639111</v>
      </c>
      <c r="G44" s="232">
        <f>G38+G40</f>
        <v>591.9665137541543</v>
      </c>
      <c r="H44" s="221">
        <f t="shared" si="2"/>
        <v>103.18634668460037</v>
      </c>
      <c r="I44" s="232">
        <f>I38+I40</f>
        <v>1165.5233752180654</v>
      </c>
      <c r="J44" s="221">
        <f t="shared" si="3"/>
        <v>101.58184311942667</v>
      </c>
      <c r="K44" s="232">
        <f>K38+K40</f>
        <v>591.9665137541543</v>
      </c>
      <c r="L44" s="232">
        <f>L38+L40</f>
        <v>624.8280519879395</v>
      </c>
      <c r="M44" s="221">
        <f t="shared" si="4"/>
        <v>105.55124951669693</v>
      </c>
      <c r="N44" s="232">
        <f>N38+N40</f>
        <v>1216.7945657420935</v>
      </c>
      <c r="O44" s="46">
        <f t="shared" si="10"/>
        <v>104.3989843201931</v>
      </c>
      <c r="P44" s="232">
        <f>P38+P40</f>
        <v>624.8280519879395</v>
      </c>
      <c r="Q44" s="232">
        <f>Q38+Q40</f>
        <v>638.060062674846</v>
      </c>
      <c r="R44" s="221">
        <f t="shared" si="5"/>
        <v>102.11770432598341</v>
      </c>
      <c r="S44" s="232">
        <f>S38+S40</f>
        <v>1262.8881146627855</v>
      </c>
      <c r="T44" s="46">
        <f t="shared" si="1"/>
        <v>103.78811265421626</v>
      </c>
    </row>
    <row r="45" spans="1:20" ht="15.75">
      <c r="A45" s="12" t="s">
        <v>62</v>
      </c>
      <c r="B45" s="28" t="s">
        <v>44</v>
      </c>
      <c r="C45" s="6" t="s">
        <v>45</v>
      </c>
      <c r="D45" s="222">
        <v>208.9</v>
      </c>
      <c r="E45" s="233">
        <f>D45</f>
        <v>208.9</v>
      </c>
      <c r="F45" s="220">
        <f>D45</f>
        <v>208.9</v>
      </c>
      <c r="G45" s="220">
        <f>F45</f>
        <v>208.9</v>
      </c>
      <c r="H45" s="221">
        <f t="shared" si="2"/>
        <v>100</v>
      </c>
      <c r="I45" s="220">
        <f>D45</f>
        <v>208.9</v>
      </c>
      <c r="J45" s="221">
        <f t="shared" si="3"/>
        <v>100</v>
      </c>
      <c r="K45" s="220">
        <f>G45</f>
        <v>208.9</v>
      </c>
      <c r="L45" s="220">
        <f>K45</f>
        <v>208.9</v>
      </c>
      <c r="M45" s="221">
        <f t="shared" si="4"/>
        <v>100</v>
      </c>
      <c r="N45" s="224">
        <f>I45</f>
        <v>208.9</v>
      </c>
      <c r="O45" s="46">
        <f t="shared" si="10"/>
        <v>100</v>
      </c>
      <c r="P45" s="224">
        <f>L45</f>
        <v>208.9</v>
      </c>
      <c r="Q45" s="224">
        <f>P45</f>
        <v>208.9</v>
      </c>
      <c r="R45" s="221">
        <f t="shared" si="5"/>
        <v>100</v>
      </c>
      <c r="S45" s="224">
        <f>N45</f>
        <v>208.9</v>
      </c>
      <c r="T45" s="48">
        <f t="shared" si="1"/>
        <v>100</v>
      </c>
    </row>
    <row r="46" spans="1:20" ht="15.75">
      <c r="A46" s="14" t="s">
        <v>63</v>
      </c>
      <c r="B46" s="32" t="s">
        <v>46</v>
      </c>
      <c r="C46" s="33" t="s">
        <v>47</v>
      </c>
      <c r="D46" s="232">
        <f>D44/D45/12*1000</f>
        <v>457.70453284179916</v>
      </c>
      <c r="E46" s="232">
        <f>E44/E45/12*1000</f>
        <v>472.28858604926944</v>
      </c>
      <c r="F46" s="234">
        <f>F44/F45/6*1000</f>
        <v>457.70453284179916</v>
      </c>
      <c r="G46" s="234">
        <f>G44/G45/6*1000</f>
        <v>472.28858604926944</v>
      </c>
      <c r="H46" s="221">
        <f t="shared" si="2"/>
        <v>103.18634668460037</v>
      </c>
      <c r="I46" s="234">
        <f>I44/I45/12*1000</f>
        <v>464.9447005018612</v>
      </c>
      <c r="J46" s="221">
        <f t="shared" si="3"/>
        <v>101.58184311942668</v>
      </c>
      <c r="K46" s="234">
        <f>K44/K45/6*1000</f>
        <v>472.28858604926944</v>
      </c>
      <c r="L46" s="234">
        <f>L44/L45/6*1000</f>
        <v>498.50650389974425</v>
      </c>
      <c r="M46" s="221">
        <f t="shared" si="4"/>
        <v>105.55124951669693</v>
      </c>
      <c r="N46" s="232">
        <f>N44/N45/12*1000</f>
        <v>485.39754497450673</v>
      </c>
      <c r="O46" s="46">
        <f t="shared" si="10"/>
        <v>104.39898432019308</v>
      </c>
      <c r="P46" s="234">
        <f>P44/P45/6*1000</f>
        <v>498.50650389974425</v>
      </c>
      <c r="Q46" s="234">
        <f>Q44/Q45/6*1000</f>
        <v>509.0633976981379</v>
      </c>
      <c r="R46" s="221">
        <f t="shared" si="5"/>
        <v>102.11770432598344</v>
      </c>
      <c r="S46" s="232">
        <f>S44/S45/12*1000</f>
        <v>503.78495079894105</v>
      </c>
      <c r="T46" s="46">
        <f t="shared" si="1"/>
        <v>103.78811265421626</v>
      </c>
    </row>
    <row r="47" spans="1:20" ht="15.75">
      <c r="A47" s="12" t="s">
        <v>64</v>
      </c>
      <c r="B47" s="28" t="s">
        <v>48</v>
      </c>
      <c r="C47" s="6" t="s">
        <v>4</v>
      </c>
      <c r="D47" s="224">
        <f>D54*D56/1000</f>
        <v>729.708</v>
      </c>
      <c r="E47" s="224">
        <f>E54*E56/1000</f>
        <v>899.64</v>
      </c>
      <c r="F47" s="224">
        <f>F54*F56/1000</f>
        <v>364.854</v>
      </c>
      <c r="G47" s="224">
        <f>G54*G56/1000</f>
        <v>449.82</v>
      </c>
      <c r="H47" s="221">
        <f t="shared" si="2"/>
        <v>123.28767123287672</v>
      </c>
      <c r="I47" s="220">
        <f>F47+G47</f>
        <v>814.674</v>
      </c>
      <c r="J47" s="221">
        <f t="shared" si="3"/>
        <v>111.64383561643835</v>
      </c>
      <c r="K47" s="224">
        <f>K54*K56/1000</f>
        <v>449.82</v>
      </c>
      <c r="L47" s="224">
        <f>N47-K47</f>
        <v>499.21200000000005</v>
      </c>
      <c r="M47" s="221">
        <f t="shared" si="4"/>
        <v>110.98039215686275</v>
      </c>
      <c r="N47" s="224">
        <f>N54*N56/1000</f>
        <v>949.032</v>
      </c>
      <c r="O47" s="46">
        <f t="shared" si="10"/>
        <v>116.49224106820644</v>
      </c>
      <c r="P47" s="224">
        <f>P54*P56/1000</f>
        <v>499.21200000000005</v>
      </c>
      <c r="Q47" s="224">
        <f>S47-P47</f>
        <v>554.4839999999999</v>
      </c>
      <c r="R47" s="221">
        <f t="shared" si="5"/>
        <v>111.07184923439337</v>
      </c>
      <c r="S47" s="224">
        <f>S54*S56/1000</f>
        <v>1053.696</v>
      </c>
      <c r="T47" s="48">
        <f t="shared" si="1"/>
        <v>111.02850061957868</v>
      </c>
    </row>
    <row r="48" spans="1:20" ht="15.75">
      <c r="A48" s="12" t="s">
        <v>65</v>
      </c>
      <c r="B48" s="28" t="s">
        <v>49</v>
      </c>
      <c r="C48" s="6" t="s">
        <v>50</v>
      </c>
      <c r="D48" s="222">
        <v>22907</v>
      </c>
      <c r="E48" s="222">
        <f>D48</f>
        <v>22907</v>
      </c>
      <c r="F48" s="222">
        <f>D48/2</f>
        <v>11453.5</v>
      </c>
      <c r="G48" s="222">
        <f>D48/2</f>
        <v>11453.5</v>
      </c>
      <c r="H48" s="221">
        <f t="shared" si="2"/>
        <v>100</v>
      </c>
      <c r="I48" s="220">
        <f>F48+G48</f>
        <v>22907</v>
      </c>
      <c r="J48" s="221">
        <f t="shared" si="3"/>
        <v>100</v>
      </c>
      <c r="K48" s="220">
        <f>G48</f>
        <v>11453.5</v>
      </c>
      <c r="L48" s="220">
        <f>N48-K48</f>
        <v>11453.5</v>
      </c>
      <c r="M48" s="221">
        <f t="shared" si="4"/>
        <v>100</v>
      </c>
      <c r="N48" s="224">
        <f>I48</f>
        <v>22907</v>
      </c>
      <c r="O48" s="46">
        <f t="shared" si="10"/>
        <v>100</v>
      </c>
      <c r="P48" s="224">
        <f>L48</f>
        <v>11453.5</v>
      </c>
      <c r="Q48" s="224">
        <f>S48-P48</f>
        <v>11453.5</v>
      </c>
      <c r="R48" s="221">
        <f t="shared" si="5"/>
        <v>100</v>
      </c>
      <c r="S48" s="224">
        <f>N48</f>
        <v>22907</v>
      </c>
      <c r="T48" s="48">
        <f t="shared" si="1"/>
        <v>100</v>
      </c>
    </row>
    <row r="49" spans="1:20" ht="15.75">
      <c r="A49" s="14" t="s">
        <v>66</v>
      </c>
      <c r="B49" s="32" t="s">
        <v>51</v>
      </c>
      <c r="C49" s="33" t="s">
        <v>52</v>
      </c>
      <c r="D49" s="232">
        <f>D47/D48*1000</f>
        <v>31.855240756100752</v>
      </c>
      <c r="E49" s="232">
        <f>E47/E48*1000</f>
        <v>39.27358449382285</v>
      </c>
      <c r="F49" s="232">
        <f>F47/F48*1000</f>
        <v>31.855240756100752</v>
      </c>
      <c r="G49" s="232">
        <f>G47/G48*1000</f>
        <v>39.27358449382285</v>
      </c>
      <c r="H49" s="221">
        <f t="shared" si="2"/>
        <v>123.28767123287673</v>
      </c>
      <c r="I49" s="232">
        <f>I47/I48*1000</f>
        <v>35.564412624961804</v>
      </c>
      <c r="J49" s="221">
        <f t="shared" si="3"/>
        <v>111.64383561643838</v>
      </c>
      <c r="K49" s="232">
        <f>K47/K48*1000</f>
        <v>39.27358449382285</v>
      </c>
      <c r="L49" s="232">
        <f>L47/L48*1000</f>
        <v>43.585978085301434</v>
      </c>
      <c r="M49" s="221">
        <f t="shared" si="4"/>
        <v>110.98039215686273</v>
      </c>
      <c r="N49" s="232">
        <f>N47/N48*1000</f>
        <v>41.42978128956214</v>
      </c>
      <c r="O49" s="46">
        <f t="shared" si="10"/>
        <v>116.49224106820641</v>
      </c>
      <c r="P49" s="232">
        <f>P47/P48*1000</f>
        <v>43.585978085301434</v>
      </c>
      <c r="Q49" s="232">
        <f>Q47/Q48*1000</f>
        <v>48.41175186624176</v>
      </c>
      <c r="R49" s="221">
        <f t="shared" si="5"/>
        <v>111.0718492343934</v>
      </c>
      <c r="S49" s="232">
        <f>S47/S48*1000</f>
        <v>45.998864975771596</v>
      </c>
      <c r="T49" s="48">
        <f t="shared" si="1"/>
        <v>111.02850061957868</v>
      </c>
    </row>
    <row r="50" spans="1:20" ht="25.5">
      <c r="A50" s="14" t="s">
        <v>71</v>
      </c>
      <c r="B50" s="34" t="s">
        <v>53</v>
      </c>
      <c r="C50" s="16" t="s">
        <v>52</v>
      </c>
      <c r="D50" s="232">
        <f>(D44+D47)/D48*1000</f>
        <v>81.94358593127963</v>
      </c>
      <c r="E50" s="232">
        <f>(E44+E47)/E48*1000</f>
        <v>90.95791799486221</v>
      </c>
      <c r="F50" s="232">
        <f>(F44+F47)/F48*1000</f>
        <v>81.94358593127963</v>
      </c>
      <c r="G50" s="232">
        <f>(G44+G47)/G48*1000</f>
        <v>90.95791799486221</v>
      </c>
      <c r="H50" s="221">
        <f t="shared" si="2"/>
        <v>111.00065607470763</v>
      </c>
      <c r="I50" s="232">
        <f>(I44+I47)/I48*1000</f>
        <v>86.44507684192891</v>
      </c>
      <c r="J50" s="221">
        <f t="shared" si="3"/>
        <v>105.4934023932323</v>
      </c>
      <c r="K50" s="232">
        <f>(K44+K47)/K48*1000</f>
        <v>90.95791799486221</v>
      </c>
      <c r="L50" s="232">
        <f>(L44+L47)/L48*1000</f>
        <v>98.13943790002527</v>
      </c>
      <c r="M50" s="221">
        <f t="shared" si="4"/>
        <v>107.89543127577824</v>
      </c>
      <c r="N50" s="232">
        <f>(N44+N47)/N48*1000</f>
        <v>94.54867794744372</v>
      </c>
      <c r="O50" s="46">
        <f t="shared" si="10"/>
        <v>109.37427717293009</v>
      </c>
      <c r="P50" s="232">
        <f>(P44+P47)/P48*1000</f>
        <v>98.13943790002527</v>
      </c>
      <c r="Q50" s="232">
        <f>(Q44+Q47)/Q48*1000</f>
        <v>104.12049265943563</v>
      </c>
      <c r="R50" s="221">
        <f t="shared" si="5"/>
        <v>106.09444570642768</v>
      </c>
      <c r="S50" s="232">
        <f>(S44+S47)/S48*1000</f>
        <v>101.12996527973046</v>
      </c>
      <c r="T50" s="46">
        <f t="shared" si="1"/>
        <v>106.96073966887727</v>
      </c>
    </row>
    <row r="51" spans="1:20" ht="15.75">
      <c r="A51" s="29" t="s">
        <v>38</v>
      </c>
      <c r="B51" s="28"/>
      <c r="C51" s="6"/>
      <c r="D51" s="231"/>
      <c r="E51" s="235"/>
      <c r="F51" s="220"/>
      <c r="G51" s="220"/>
      <c r="H51" s="221"/>
      <c r="I51" s="220"/>
      <c r="J51" s="221"/>
      <c r="K51" s="220"/>
      <c r="L51" s="220"/>
      <c r="M51" s="221"/>
      <c r="N51" s="231"/>
      <c r="O51" s="46"/>
      <c r="P51" s="224"/>
      <c r="Q51" s="224"/>
      <c r="R51" s="221"/>
      <c r="S51" s="231"/>
      <c r="T51" s="48"/>
    </row>
    <row r="52" spans="1:20" ht="15.75">
      <c r="A52" s="30" t="s">
        <v>39</v>
      </c>
      <c r="B52" s="28"/>
      <c r="C52" s="6" t="s">
        <v>40</v>
      </c>
      <c r="D52" s="236">
        <v>451940</v>
      </c>
      <c r="E52" s="236">
        <f>D52</f>
        <v>451940</v>
      </c>
      <c r="F52" s="236">
        <f>D52/2</f>
        <v>225970</v>
      </c>
      <c r="G52" s="237">
        <f>D52/2</f>
        <v>225970</v>
      </c>
      <c r="H52" s="221">
        <f t="shared" si="2"/>
        <v>100</v>
      </c>
      <c r="I52" s="237">
        <f>F52+G52</f>
        <v>451940</v>
      </c>
      <c r="J52" s="221">
        <f t="shared" si="3"/>
        <v>100</v>
      </c>
      <c r="K52" s="237">
        <f>G52</f>
        <v>225970</v>
      </c>
      <c r="L52" s="220">
        <f>N52-K52</f>
        <v>225970</v>
      </c>
      <c r="M52" s="221">
        <f t="shared" si="4"/>
        <v>100</v>
      </c>
      <c r="N52" s="226">
        <f>I52</f>
        <v>451940</v>
      </c>
      <c r="O52" s="46">
        <f>N52/I52*100</f>
        <v>100</v>
      </c>
      <c r="P52" s="224">
        <f>L52</f>
        <v>225970</v>
      </c>
      <c r="Q52" s="220">
        <f>S52-P52</f>
        <v>225970</v>
      </c>
      <c r="R52" s="221">
        <f t="shared" si="5"/>
        <v>100</v>
      </c>
      <c r="S52" s="226">
        <f>I52</f>
        <v>451940</v>
      </c>
      <c r="T52" s="48">
        <f t="shared" si="1"/>
        <v>100</v>
      </c>
    </row>
    <row r="53" spans="1:20" ht="15.75">
      <c r="A53" s="30" t="s">
        <v>41</v>
      </c>
      <c r="B53" s="28"/>
      <c r="C53" s="6" t="s">
        <v>40</v>
      </c>
      <c r="D53" s="224">
        <f>D48+D54</f>
        <v>23495</v>
      </c>
      <c r="E53" s="224">
        <f>E48+E54</f>
        <v>23495</v>
      </c>
      <c r="F53" s="222">
        <f>D53/2</f>
        <v>11747.5</v>
      </c>
      <c r="G53" s="220">
        <f>D53/2</f>
        <v>11747.5</v>
      </c>
      <c r="H53" s="221">
        <f t="shared" si="2"/>
        <v>100</v>
      </c>
      <c r="I53" s="220">
        <f>F53+G53</f>
        <v>23495</v>
      </c>
      <c r="J53" s="221">
        <f t="shared" si="3"/>
        <v>100</v>
      </c>
      <c r="K53" s="220">
        <f>G53</f>
        <v>11747.5</v>
      </c>
      <c r="L53" s="220">
        <f>N53-K53</f>
        <v>11747.5</v>
      </c>
      <c r="M53" s="221">
        <f t="shared" si="4"/>
        <v>100</v>
      </c>
      <c r="N53" s="224">
        <f>I53</f>
        <v>23495</v>
      </c>
      <c r="O53" s="46">
        <f>N53/I53*100</f>
        <v>100</v>
      </c>
      <c r="P53" s="224">
        <f>L53</f>
        <v>11747.5</v>
      </c>
      <c r="Q53" s="220">
        <f>S53-P53</f>
        <v>11747.5</v>
      </c>
      <c r="R53" s="221">
        <f t="shared" si="5"/>
        <v>100</v>
      </c>
      <c r="S53" s="226">
        <f>N53</f>
        <v>23495</v>
      </c>
      <c r="T53" s="48">
        <f t="shared" si="1"/>
        <v>100</v>
      </c>
    </row>
    <row r="54" spans="1:20" ht="15.75">
      <c r="A54" s="30" t="s">
        <v>54</v>
      </c>
      <c r="B54" s="28"/>
      <c r="C54" s="6" t="s">
        <v>40</v>
      </c>
      <c r="D54" s="223">
        <v>588</v>
      </c>
      <c r="E54" s="223">
        <f>D54</f>
        <v>588</v>
      </c>
      <c r="F54" s="223">
        <f>D54/2</f>
        <v>294</v>
      </c>
      <c r="G54" s="237">
        <f>D54/2</f>
        <v>294</v>
      </c>
      <c r="H54" s="221">
        <f t="shared" si="2"/>
        <v>100</v>
      </c>
      <c r="I54" s="220">
        <f>F54+G54</f>
        <v>588</v>
      </c>
      <c r="J54" s="221">
        <f t="shared" si="3"/>
        <v>100</v>
      </c>
      <c r="K54" s="237">
        <f>G54</f>
        <v>294</v>
      </c>
      <c r="L54" s="220">
        <f>N54-K54</f>
        <v>294</v>
      </c>
      <c r="M54" s="221">
        <f t="shared" si="4"/>
        <v>100</v>
      </c>
      <c r="N54" s="226">
        <f>I54</f>
        <v>588</v>
      </c>
      <c r="O54" s="46">
        <f>N54/I54*100</f>
        <v>100</v>
      </c>
      <c r="P54" s="224">
        <f>L54</f>
        <v>294</v>
      </c>
      <c r="Q54" s="220">
        <f>S54-P54</f>
        <v>294</v>
      </c>
      <c r="R54" s="221">
        <f t="shared" si="5"/>
        <v>100</v>
      </c>
      <c r="S54" s="226">
        <f>N54</f>
        <v>588</v>
      </c>
      <c r="T54" s="48">
        <f t="shared" si="1"/>
        <v>100</v>
      </c>
    </row>
    <row r="55" spans="1:20" ht="15.75">
      <c r="A55" s="30" t="s">
        <v>55</v>
      </c>
      <c r="B55" s="28"/>
      <c r="C55" s="6" t="s">
        <v>28</v>
      </c>
      <c r="D55" s="222">
        <f>D54/D53*100</f>
        <v>2.502660140455416</v>
      </c>
      <c r="E55" s="222">
        <f>E54/E53*100</f>
        <v>2.502660140455416</v>
      </c>
      <c r="F55" s="220">
        <f>D55</f>
        <v>2.502660140455416</v>
      </c>
      <c r="G55" s="220">
        <f>F55</f>
        <v>2.502660140455416</v>
      </c>
      <c r="H55" s="221"/>
      <c r="I55" s="222">
        <f>I54/I53*100</f>
        <v>2.502660140455416</v>
      </c>
      <c r="J55" s="221">
        <f t="shared" si="3"/>
        <v>100</v>
      </c>
      <c r="K55" s="222">
        <f>K54/K53*100</f>
        <v>2.502660140455416</v>
      </c>
      <c r="L55" s="222">
        <f>L54/L53*100</f>
        <v>2.502660140455416</v>
      </c>
      <c r="M55" s="221">
        <f t="shared" si="4"/>
        <v>100</v>
      </c>
      <c r="N55" s="222">
        <f>N54/N53*100</f>
        <v>2.502660140455416</v>
      </c>
      <c r="O55" s="46"/>
      <c r="P55" s="222">
        <f>P54/P53*100</f>
        <v>2.502660140455416</v>
      </c>
      <c r="Q55" s="222">
        <f>Q54/Q53*100</f>
        <v>2.502660140455416</v>
      </c>
      <c r="R55" s="221">
        <f t="shared" si="5"/>
        <v>100</v>
      </c>
      <c r="S55" s="222">
        <f>S54/S53*100</f>
        <v>2.502660140455416</v>
      </c>
      <c r="T55" s="48"/>
    </row>
    <row r="56" spans="1:20" ht="15.75">
      <c r="A56" s="30" t="s">
        <v>56</v>
      </c>
      <c r="B56" s="28"/>
      <c r="C56" s="6" t="s">
        <v>52</v>
      </c>
      <c r="D56" s="222">
        <v>1241</v>
      </c>
      <c r="E56" s="233">
        <v>1530</v>
      </c>
      <c r="F56" s="220">
        <f>D56</f>
        <v>1241</v>
      </c>
      <c r="G56" s="220">
        <v>1530</v>
      </c>
      <c r="H56" s="221">
        <f t="shared" si="2"/>
        <v>123.28767123287672</v>
      </c>
      <c r="I56" s="220">
        <f>I47/I54*1000</f>
        <v>1385.5</v>
      </c>
      <c r="J56" s="221">
        <f t="shared" si="3"/>
        <v>111.64383561643835</v>
      </c>
      <c r="K56" s="220">
        <f>G56</f>
        <v>1530</v>
      </c>
      <c r="L56" s="220">
        <f>L47/L54*1000</f>
        <v>1698.0000000000002</v>
      </c>
      <c r="M56" s="221">
        <f t="shared" si="4"/>
        <v>110.98039215686275</v>
      </c>
      <c r="N56" s="224">
        <v>1614</v>
      </c>
      <c r="O56" s="46">
        <f>N56/I56*100</f>
        <v>116.49224106820641</v>
      </c>
      <c r="P56" s="224">
        <f>L56</f>
        <v>1698.0000000000002</v>
      </c>
      <c r="Q56" s="220">
        <f>Q47/Q54*1000</f>
        <v>1885.9999999999998</v>
      </c>
      <c r="R56" s="221">
        <f t="shared" si="5"/>
        <v>111.07184923439337</v>
      </c>
      <c r="S56" s="224">
        <v>1792</v>
      </c>
      <c r="T56" s="48">
        <f t="shared" si="1"/>
        <v>111.0285006195787</v>
      </c>
    </row>
    <row r="57" spans="1:20" ht="15.75">
      <c r="A57" s="30" t="s">
        <v>57</v>
      </c>
      <c r="B57" s="28"/>
      <c r="C57" s="6" t="s">
        <v>42</v>
      </c>
      <c r="D57" s="222">
        <v>61</v>
      </c>
      <c r="E57" s="238">
        <f>D57</f>
        <v>61</v>
      </c>
      <c r="F57" s="237">
        <f>D57</f>
        <v>61</v>
      </c>
      <c r="G57" s="237">
        <f>F57</f>
        <v>61</v>
      </c>
      <c r="H57" s="221">
        <f t="shared" si="2"/>
        <v>100</v>
      </c>
      <c r="I57" s="237">
        <f>D57</f>
        <v>61</v>
      </c>
      <c r="J57" s="221">
        <f t="shared" si="3"/>
        <v>100</v>
      </c>
      <c r="K57" s="237">
        <f>G57</f>
        <v>61</v>
      </c>
      <c r="L57" s="237">
        <f>K57</f>
        <v>61</v>
      </c>
      <c r="M57" s="221">
        <f t="shared" si="4"/>
        <v>100</v>
      </c>
      <c r="N57" s="226">
        <f>I57</f>
        <v>61</v>
      </c>
      <c r="O57" s="46">
        <f>N57/I57*100</f>
        <v>100</v>
      </c>
      <c r="P57" s="224">
        <f>L57</f>
        <v>61</v>
      </c>
      <c r="Q57" s="237">
        <f>P57</f>
        <v>61</v>
      </c>
      <c r="R57" s="221">
        <f t="shared" si="5"/>
        <v>100</v>
      </c>
      <c r="S57" s="226">
        <f>N57</f>
        <v>61</v>
      </c>
      <c r="T57" s="46">
        <f t="shared" si="1"/>
        <v>100</v>
      </c>
    </row>
    <row r="58" spans="1:20" ht="15.75">
      <c r="A58" s="30" t="s">
        <v>58</v>
      </c>
      <c r="B58" s="28"/>
      <c r="C58" s="6" t="s">
        <v>43</v>
      </c>
      <c r="D58" s="239">
        <f>D19/D57/12*1000</f>
        <v>9527.322404371585</v>
      </c>
      <c r="E58" s="239">
        <f>E19/E57/12*1000</f>
        <v>10013.215846994535</v>
      </c>
      <c r="F58" s="239">
        <f>F19/F57/6*1000</f>
        <v>9527.322404371585</v>
      </c>
      <c r="G58" s="239">
        <f>G19/G57/6*1000</f>
        <v>10013.215846994535</v>
      </c>
      <c r="H58" s="221">
        <f t="shared" si="2"/>
        <v>105.1</v>
      </c>
      <c r="I58" s="239">
        <f>I19/I57/12*1000</f>
        <v>9770.269125683059</v>
      </c>
      <c r="J58" s="221">
        <f t="shared" si="3"/>
        <v>102.54999999999998</v>
      </c>
      <c r="K58" s="239">
        <f>K19/K57/6*1000</f>
        <v>10013.215846994535</v>
      </c>
      <c r="L58" s="239">
        <f>L19/L57/6*1000</f>
        <v>10473.279861120214</v>
      </c>
      <c r="M58" s="221">
        <f t="shared" si="4"/>
        <v>104.59456803044715</v>
      </c>
      <c r="N58" s="239">
        <f>N19/N57/12*1000</f>
        <v>10243.247854057374</v>
      </c>
      <c r="O58" s="46">
        <f>N58/I58*100</f>
        <v>104.84099999999998</v>
      </c>
      <c r="P58" s="239">
        <f>P19/P57/6*1000</f>
        <v>10473.279861120214</v>
      </c>
      <c r="Q58" s="239">
        <f>Q19/Q57/6*1000</f>
        <v>10862.995688967134</v>
      </c>
      <c r="R58" s="221">
        <f t="shared" si="5"/>
        <v>103.72104854462694</v>
      </c>
      <c r="S58" s="239">
        <f>S19/S57/12*1000</f>
        <v>10668.137775043675</v>
      </c>
      <c r="T58" s="46">
        <f t="shared" si="1"/>
        <v>104.14800000000002</v>
      </c>
    </row>
    <row r="59" ht="12.75">
      <c r="B59" s="18"/>
    </row>
    <row r="60" spans="2:7" ht="12.75">
      <c r="B60" s="18"/>
      <c r="E60" s="253"/>
      <c r="F60" s="253"/>
      <c r="G60" s="254">
        <f>D50*1.11</f>
        <v>90.95738038372039</v>
      </c>
    </row>
    <row r="61" spans="2:7" ht="12.75">
      <c r="B61" s="18"/>
      <c r="E61" s="253"/>
      <c r="F61" s="253"/>
      <c r="G61" s="253">
        <f>G60*G48/1000</f>
        <v>1041.7803562249414</v>
      </c>
    </row>
    <row r="62" spans="2:7" ht="12.75">
      <c r="B62" s="18"/>
      <c r="E62" s="253"/>
      <c r="F62" s="253"/>
      <c r="G62" s="255">
        <f>G61-G47</f>
        <v>591.9603562249415</v>
      </c>
    </row>
    <row r="63" spans="2:22" ht="12.75">
      <c r="B63" s="18"/>
      <c r="E63" s="311" t="s">
        <v>216</v>
      </c>
      <c r="F63" s="311"/>
      <c r="G63" s="255">
        <f>G62-G44</f>
        <v>-0.006157529212828194</v>
      </c>
      <c r="O63" s="240"/>
      <c r="P63" s="240"/>
      <c r="Q63" s="240"/>
      <c r="R63" s="240"/>
      <c r="S63" s="241"/>
      <c r="T63" s="201"/>
      <c r="U63" s="201"/>
      <c r="V63" s="201"/>
    </row>
    <row r="64" spans="2:22" ht="12.75">
      <c r="B64" s="18"/>
      <c r="E64" s="253"/>
      <c r="F64" s="253"/>
      <c r="G64" s="253"/>
      <c r="I64" s="242"/>
      <c r="J64" s="242"/>
      <c r="K64" s="242"/>
      <c r="L64" s="242"/>
      <c r="M64" s="242"/>
      <c r="O64" s="243"/>
      <c r="P64" s="243"/>
      <c r="Q64" s="243"/>
      <c r="R64" s="243"/>
      <c r="S64" s="242"/>
      <c r="T64" s="204"/>
      <c r="U64" s="204"/>
      <c r="V64" s="204"/>
    </row>
    <row r="65" spans="2:22" ht="12.75">
      <c r="B65" s="18"/>
      <c r="I65" s="240"/>
      <c r="J65" s="240"/>
      <c r="K65" s="240"/>
      <c r="L65" s="240"/>
      <c r="M65" s="240"/>
      <c r="O65" s="243"/>
      <c r="P65" s="243"/>
      <c r="Q65" s="243"/>
      <c r="R65" s="243"/>
      <c r="S65" s="242"/>
      <c r="T65" s="204"/>
      <c r="U65" s="204"/>
      <c r="V65" s="204"/>
    </row>
    <row r="66" spans="2:22" ht="12.75">
      <c r="B66" s="18"/>
      <c r="I66" s="243"/>
      <c r="J66" s="243"/>
      <c r="K66" s="243"/>
      <c r="L66" s="243"/>
      <c r="M66" s="243"/>
      <c r="O66" s="243"/>
      <c r="P66" s="243"/>
      <c r="Q66" s="243"/>
      <c r="R66" s="243"/>
      <c r="S66" s="242"/>
      <c r="T66" s="206"/>
      <c r="U66" s="206"/>
      <c r="V66" s="206"/>
    </row>
    <row r="67" spans="2:22" ht="12.75">
      <c r="B67" s="18"/>
      <c r="I67" s="243"/>
      <c r="J67" s="243"/>
      <c r="K67" s="243"/>
      <c r="L67" s="243"/>
      <c r="M67" s="243"/>
      <c r="O67" s="243"/>
      <c r="P67" s="243"/>
      <c r="Q67" s="243"/>
      <c r="R67" s="243"/>
      <c r="S67" s="242"/>
      <c r="T67" s="204"/>
      <c r="U67" s="204"/>
      <c r="V67" s="204"/>
    </row>
    <row r="68" spans="2:22" ht="12.75">
      <c r="B68" s="18"/>
      <c r="I68" s="243"/>
      <c r="J68" s="243"/>
      <c r="K68" s="243"/>
      <c r="L68" s="243"/>
      <c r="M68" s="243"/>
      <c r="O68" s="243"/>
      <c r="P68" s="243"/>
      <c r="Q68" s="243"/>
      <c r="R68" s="243"/>
      <c r="S68" s="244"/>
      <c r="T68" s="244"/>
      <c r="U68" s="208"/>
      <c r="V68" s="208"/>
    </row>
    <row r="69" spans="2:13" ht="12.75">
      <c r="B69" s="18"/>
      <c r="I69" s="243"/>
      <c r="J69" s="243"/>
      <c r="K69" s="243"/>
      <c r="L69" s="243"/>
      <c r="M69" s="243"/>
    </row>
    <row r="70" spans="2:13" ht="12.75">
      <c r="B70" s="18"/>
      <c r="I70" s="243"/>
      <c r="J70" s="243"/>
      <c r="K70" s="243"/>
      <c r="L70" s="243"/>
      <c r="M70" s="243"/>
    </row>
    <row r="71" spans="2:13" ht="12.75">
      <c r="B71" s="18"/>
      <c r="I71" s="242"/>
      <c r="J71" s="242"/>
      <c r="K71" s="242"/>
      <c r="L71" s="242"/>
      <c r="M71" s="242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  <row r="802" ht="12.75">
      <c r="B802" s="18"/>
    </row>
    <row r="803" ht="12.75">
      <c r="B803" s="18"/>
    </row>
    <row r="804" ht="12.75">
      <c r="B804" s="18"/>
    </row>
    <row r="805" ht="12.75">
      <c r="B805" s="18"/>
    </row>
    <row r="806" ht="12.75">
      <c r="B806" s="18"/>
    </row>
    <row r="807" ht="12.75">
      <c r="B807" s="18"/>
    </row>
    <row r="808" ht="12.75">
      <c r="B808" s="18"/>
    </row>
    <row r="809" ht="12.75">
      <c r="B809" s="18"/>
    </row>
  </sheetData>
  <sheetProtection/>
  <mergeCells count="13">
    <mergeCell ref="B2:U2"/>
    <mergeCell ref="B3:U3"/>
    <mergeCell ref="B4:U4"/>
    <mergeCell ref="D13:D15"/>
    <mergeCell ref="E13:T13"/>
    <mergeCell ref="F14:J14"/>
    <mergeCell ref="K14:O14"/>
    <mergeCell ref="P14:T14"/>
    <mergeCell ref="E63:F63"/>
    <mergeCell ref="A14:A15"/>
    <mergeCell ref="B14:B15"/>
    <mergeCell ref="C14:C15"/>
    <mergeCell ref="E14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01"/>
  <sheetViews>
    <sheetView showZeros="0" zoomScalePageLayoutView="0" workbookViewId="0" topLeftCell="A1">
      <selection activeCell="N25" sqref="N25"/>
    </sheetView>
  </sheetViews>
  <sheetFormatPr defaultColWidth="8.8515625" defaultRowHeight="12.75"/>
  <cols>
    <col min="1" max="1" width="5.7109375" style="1" customWidth="1"/>
    <col min="2" max="2" width="39.8515625" style="2" customWidth="1"/>
    <col min="3" max="3" width="7.8515625" style="1" customWidth="1"/>
    <col min="4" max="5" width="11.00390625" style="2" customWidth="1"/>
    <col min="6" max="6" width="7.7109375" style="2" customWidth="1"/>
    <col min="7" max="7" width="11.00390625" style="2" customWidth="1"/>
    <col min="8" max="8" width="8.7109375" style="2" hidden="1" customWidth="1"/>
    <col min="9" max="9" width="7.7109375" style="2" customWidth="1"/>
    <col min="10" max="10" width="11.57421875" style="2" hidden="1" customWidth="1"/>
    <col min="11" max="11" width="0.13671875" style="2" customWidth="1"/>
    <col min="12" max="12" width="10.7109375" style="2" hidden="1" customWidth="1"/>
    <col min="13" max="13" width="8.7109375" style="2" hidden="1" customWidth="1"/>
    <col min="14" max="16384" width="8.8515625" style="2" customWidth="1"/>
  </cols>
  <sheetData>
    <row r="3" spans="6:9" ht="12.75">
      <c r="F3" s="336" t="s">
        <v>224</v>
      </c>
      <c r="G3" s="336"/>
      <c r="H3" s="336"/>
      <c r="I3" s="336"/>
    </row>
    <row r="4" spans="2:13" ht="18" customHeight="1">
      <c r="B4" s="332" t="s">
        <v>225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 customHeight="1">
      <c r="A5" s="4"/>
      <c r="B5" s="333" t="s">
        <v>84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ht="12.75" customHeight="1">
      <c r="A6" s="4"/>
      <c r="B6" s="320" t="s">
        <v>72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0" ht="12.75" customHeight="1">
      <c r="A7" s="214"/>
      <c r="B7" s="331"/>
      <c r="C7" s="331"/>
      <c r="D7" s="331"/>
      <c r="E7" s="213"/>
      <c r="F7" s="213"/>
      <c r="G7" s="214"/>
      <c r="H7" s="214"/>
      <c r="I7" s="214"/>
      <c r="J7" s="215"/>
    </row>
    <row r="8" spans="1:13" s="5" customFormat="1" ht="15.75" customHeight="1">
      <c r="A8" s="339" t="s">
        <v>0</v>
      </c>
      <c r="B8" s="339" t="s">
        <v>1</v>
      </c>
      <c r="C8" s="314" t="s">
        <v>2</v>
      </c>
      <c r="D8" s="316" t="s">
        <v>73</v>
      </c>
      <c r="E8" s="316" t="s">
        <v>74</v>
      </c>
      <c r="F8" s="316" t="s">
        <v>217</v>
      </c>
      <c r="G8" s="341" t="s">
        <v>75</v>
      </c>
      <c r="H8" s="337"/>
      <c r="I8" s="316" t="s">
        <v>218</v>
      </c>
      <c r="J8" s="334" t="s">
        <v>76</v>
      </c>
      <c r="K8" s="337"/>
      <c r="L8" s="334"/>
      <c r="M8" s="337"/>
    </row>
    <row r="9" spans="1:13" s="5" customFormat="1" ht="33.75" customHeight="1">
      <c r="A9" s="340"/>
      <c r="B9" s="340"/>
      <c r="C9" s="315"/>
      <c r="D9" s="317"/>
      <c r="E9" s="317"/>
      <c r="F9" s="317"/>
      <c r="G9" s="342"/>
      <c r="H9" s="338"/>
      <c r="I9" s="317"/>
      <c r="J9" s="335"/>
      <c r="K9" s="338"/>
      <c r="L9" s="335"/>
      <c r="M9" s="338"/>
    </row>
    <row r="10" spans="1:13" ht="10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">
        <v>7</v>
      </c>
      <c r="H10" s="6"/>
      <c r="I10" s="6">
        <v>8</v>
      </c>
      <c r="J10" s="6">
        <v>9</v>
      </c>
      <c r="K10" s="6"/>
      <c r="L10" s="6"/>
      <c r="M10" s="6"/>
    </row>
    <row r="11" spans="1:13" ht="12.75">
      <c r="A11" s="8">
        <v>1</v>
      </c>
      <c r="B11" s="24" t="s">
        <v>3</v>
      </c>
      <c r="C11" s="16" t="s">
        <v>4</v>
      </c>
      <c r="D11" s="53">
        <f aca="true" t="shared" si="0" ref="D11:M11">D12+D13+D14+D15+D16</f>
        <v>38535.530000000006</v>
      </c>
      <c r="E11" s="53">
        <f t="shared" si="0"/>
        <v>38551.840000000004</v>
      </c>
      <c r="F11" s="245">
        <f>E11/D11*100</f>
        <v>100.04232457682558</v>
      </c>
      <c r="G11" s="53">
        <f t="shared" si="0"/>
        <v>35116.356999999996</v>
      </c>
      <c r="H11" s="53">
        <f t="shared" si="0"/>
        <v>0</v>
      </c>
      <c r="I11" s="245">
        <f>G11/E11*100</f>
        <v>91.08866658504495</v>
      </c>
      <c r="J11" s="53">
        <f t="shared" si="0"/>
        <v>16991.019999999997</v>
      </c>
      <c r="K11" s="53">
        <f t="shared" si="0"/>
        <v>0</v>
      </c>
      <c r="L11" s="53">
        <f t="shared" si="0"/>
        <v>0</v>
      </c>
      <c r="M11" s="53">
        <f t="shared" si="0"/>
        <v>0</v>
      </c>
    </row>
    <row r="12" spans="1:13" ht="12.75">
      <c r="A12" s="9" t="s">
        <v>5</v>
      </c>
      <c r="B12" s="25" t="s">
        <v>6</v>
      </c>
      <c r="C12" s="13" t="s">
        <v>4</v>
      </c>
      <c r="D12" s="41">
        <v>832.63</v>
      </c>
      <c r="E12" s="41">
        <v>1332.64</v>
      </c>
      <c r="F12" s="245">
        <f aca="true" t="shared" si="1" ref="F12:F51">E12/D12*100</f>
        <v>160.0518837899187</v>
      </c>
      <c r="G12" s="21">
        <v>1852.62</v>
      </c>
      <c r="H12" s="23"/>
      <c r="I12" s="245">
        <f aca="true" t="shared" si="2" ref="I12:I51">G12/E12*100</f>
        <v>139.01878977068074</v>
      </c>
      <c r="J12" s="21">
        <v>480.47</v>
      </c>
      <c r="K12" s="46"/>
      <c r="L12" s="21"/>
      <c r="M12" s="46"/>
    </row>
    <row r="13" spans="1:13" ht="12.75">
      <c r="A13" s="9" t="s">
        <v>7</v>
      </c>
      <c r="B13" s="10" t="s">
        <v>8</v>
      </c>
      <c r="C13" s="13" t="s">
        <v>4</v>
      </c>
      <c r="D13" s="37">
        <v>18258.86</v>
      </c>
      <c r="E13" s="37">
        <v>21950.99</v>
      </c>
      <c r="F13" s="245">
        <f t="shared" si="1"/>
        <v>120.22103241932957</v>
      </c>
      <c r="G13" s="21">
        <v>21641.17</v>
      </c>
      <c r="H13" s="23"/>
      <c r="I13" s="245">
        <f t="shared" si="2"/>
        <v>98.58858302062913</v>
      </c>
      <c r="J13" s="21">
        <v>7566.65</v>
      </c>
      <c r="K13" s="46"/>
      <c r="L13" s="21"/>
      <c r="M13" s="46"/>
    </row>
    <row r="14" spans="1:13" ht="12.75">
      <c r="A14" s="9" t="s">
        <v>9</v>
      </c>
      <c r="B14" s="25" t="s">
        <v>10</v>
      </c>
      <c r="C14" s="13" t="s">
        <v>4</v>
      </c>
      <c r="D14" s="37">
        <v>10986.48</v>
      </c>
      <c r="E14" s="37">
        <v>7007.47</v>
      </c>
      <c r="F14" s="245">
        <f t="shared" si="1"/>
        <v>63.782667423961094</v>
      </c>
      <c r="G14" s="21">
        <v>4743.08</v>
      </c>
      <c r="H14" s="23"/>
      <c r="I14" s="245">
        <f t="shared" si="2"/>
        <v>67.68605502413853</v>
      </c>
      <c r="J14" s="21">
        <v>7615.5</v>
      </c>
      <c r="K14" s="46"/>
      <c r="L14" s="21"/>
      <c r="M14" s="46"/>
    </row>
    <row r="15" spans="1:13" ht="12.75">
      <c r="A15" s="11" t="s">
        <v>11</v>
      </c>
      <c r="B15" s="25" t="s">
        <v>12</v>
      </c>
      <c r="C15" s="13" t="s">
        <v>4</v>
      </c>
      <c r="D15" s="41">
        <v>6754.3</v>
      </c>
      <c r="E15" s="41">
        <v>6491.88</v>
      </c>
      <c r="F15" s="245">
        <f t="shared" si="1"/>
        <v>96.1147713308559</v>
      </c>
      <c r="G15" s="21">
        <v>5271.197</v>
      </c>
      <c r="H15" s="23"/>
      <c r="I15" s="245">
        <f t="shared" si="2"/>
        <v>81.1967719674424</v>
      </c>
      <c r="J15" s="21">
        <v>454.72</v>
      </c>
      <c r="K15" s="46"/>
      <c r="L15" s="21"/>
      <c r="M15" s="46"/>
    </row>
    <row r="16" spans="1:13" ht="12.75">
      <c r="A16" s="9" t="s">
        <v>77</v>
      </c>
      <c r="B16" s="26" t="s">
        <v>19</v>
      </c>
      <c r="C16" s="13" t="s">
        <v>4</v>
      </c>
      <c r="D16" s="41">
        <v>1703.26</v>
      </c>
      <c r="E16" s="41">
        <v>1768.86</v>
      </c>
      <c r="F16" s="245">
        <f t="shared" si="1"/>
        <v>103.85143783098295</v>
      </c>
      <c r="G16" s="21">
        <v>1608.29</v>
      </c>
      <c r="H16" s="23"/>
      <c r="I16" s="245">
        <f t="shared" si="2"/>
        <v>90.92240199902763</v>
      </c>
      <c r="J16" s="21">
        <v>873.68</v>
      </c>
      <c r="K16" s="46"/>
      <c r="L16" s="21"/>
      <c r="M16" s="46"/>
    </row>
    <row r="17" spans="1:13" ht="12.75">
      <c r="A17" s="8">
        <v>2</v>
      </c>
      <c r="B17" s="24" t="s">
        <v>13</v>
      </c>
      <c r="C17" s="16" t="s">
        <v>4</v>
      </c>
      <c r="D17" s="54">
        <f>D18+D19+D20+D24</f>
        <v>6440.360000000001</v>
      </c>
      <c r="E17" s="54">
        <f>E18+E19+E20+E24</f>
        <v>9137.419999999998</v>
      </c>
      <c r="F17" s="245">
        <f t="shared" si="1"/>
        <v>141.87747268786214</v>
      </c>
      <c r="G17" s="54">
        <f>G18+G19+G20+G24</f>
        <v>8637.88</v>
      </c>
      <c r="H17" s="54">
        <f>H18+H19+H20+H24</f>
        <v>0</v>
      </c>
      <c r="I17" s="245">
        <f t="shared" si="2"/>
        <v>94.53303011134435</v>
      </c>
      <c r="J17" s="54">
        <f>J18+J19+J20+J24</f>
        <v>4412.14</v>
      </c>
      <c r="K17" s="48"/>
      <c r="L17" s="19"/>
      <c r="M17" s="48"/>
    </row>
    <row r="18" spans="1:13" ht="12.75">
      <c r="A18" s="9" t="s">
        <v>14</v>
      </c>
      <c r="B18" s="25" t="s">
        <v>15</v>
      </c>
      <c r="C18" s="13" t="s">
        <v>4</v>
      </c>
      <c r="D18" s="41">
        <v>1732.52</v>
      </c>
      <c r="E18" s="41">
        <v>1986.58</v>
      </c>
      <c r="F18" s="245">
        <f t="shared" si="1"/>
        <v>114.66418858079561</v>
      </c>
      <c r="G18" s="21">
        <v>2227.49</v>
      </c>
      <c r="H18" s="23"/>
      <c r="I18" s="245">
        <f t="shared" si="2"/>
        <v>112.1268713064664</v>
      </c>
      <c r="J18" s="21">
        <v>2004.08</v>
      </c>
      <c r="K18" s="48"/>
      <c r="L18" s="21"/>
      <c r="M18" s="48"/>
    </row>
    <row r="19" spans="1:13" ht="12.75">
      <c r="A19" s="9" t="s">
        <v>16</v>
      </c>
      <c r="B19" s="26" t="s">
        <v>17</v>
      </c>
      <c r="C19" s="13" t="s">
        <v>4</v>
      </c>
      <c r="D19" s="37">
        <v>4672.09</v>
      </c>
      <c r="E19" s="37">
        <v>7093.38</v>
      </c>
      <c r="F19" s="245">
        <f t="shared" si="1"/>
        <v>151.824558174179</v>
      </c>
      <c r="G19" s="21">
        <v>6367.88</v>
      </c>
      <c r="H19" s="23"/>
      <c r="I19" s="245">
        <f t="shared" si="2"/>
        <v>89.77215375462755</v>
      </c>
      <c r="J19" s="21">
        <v>2354.11</v>
      </c>
      <c r="K19" s="46"/>
      <c r="L19" s="21"/>
      <c r="M19" s="46"/>
    </row>
    <row r="20" spans="1:13" ht="12.75">
      <c r="A20" s="9" t="s">
        <v>18</v>
      </c>
      <c r="B20" s="26" t="s">
        <v>20</v>
      </c>
      <c r="C20" s="13" t="s">
        <v>4</v>
      </c>
      <c r="D20" s="55">
        <f>D21+D22+D23</f>
        <v>35.75</v>
      </c>
      <c r="E20" s="55">
        <f>E21+E22+E23</f>
        <v>57.46</v>
      </c>
      <c r="F20" s="245">
        <f t="shared" si="1"/>
        <v>160.72727272727272</v>
      </c>
      <c r="G20" s="55">
        <f>G21+G22+G23</f>
        <v>42.51</v>
      </c>
      <c r="H20" s="55">
        <f>H21+H22+H23</f>
        <v>0</v>
      </c>
      <c r="I20" s="245">
        <f t="shared" si="2"/>
        <v>73.98190045248867</v>
      </c>
      <c r="J20" s="55">
        <f>J21+J22+J23</f>
        <v>53.949999999999996</v>
      </c>
      <c r="K20" s="46"/>
      <c r="L20" s="19"/>
      <c r="M20" s="46"/>
    </row>
    <row r="21" spans="1:13" ht="12.75">
      <c r="A21" s="9" t="s">
        <v>78</v>
      </c>
      <c r="B21" s="26" t="s">
        <v>21</v>
      </c>
      <c r="C21" s="13" t="s">
        <v>4</v>
      </c>
      <c r="D21" s="37">
        <v>27.89</v>
      </c>
      <c r="E21" s="37">
        <v>44.82</v>
      </c>
      <c r="F21" s="245">
        <f t="shared" si="1"/>
        <v>160.70276084618143</v>
      </c>
      <c r="G21" s="21">
        <v>33.16</v>
      </c>
      <c r="H21" s="23"/>
      <c r="I21" s="245">
        <f t="shared" si="2"/>
        <v>73.98482820169566</v>
      </c>
      <c r="J21" s="20">
        <v>41.23</v>
      </c>
      <c r="K21" s="46"/>
      <c r="L21" s="19"/>
      <c r="M21" s="46"/>
    </row>
    <row r="22" spans="1:13" ht="12.75">
      <c r="A22" s="9" t="s">
        <v>79</v>
      </c>
      <c r="B22" s="26" t="s">
        <v>22</v>
      </c>
      <c r="C22" s="13" t="s">
        <v>4</v>
      </c>
      <c r="D22" s="37"/>
      <c r="E22" s="37"/>
      <c r="F22" s="245"/>
      <c r="G22" s="21"/>
      <c r="H22" s="23"/>
      <c r="I22" s="245"/>
      <c r="J22" s="19"/>
      <c r="K22" s="46"/>
      <c r="L22" s="19"/>
      <c r="M22" s="46"/>
    </row>
    <row r="23" spans="1:13" ht="12.75">
      <c r="A23" s="9" t="s">
        <v>80</v>
      </c>
      <c r="B23" s="26" t="s">
        <v>23</v>
      </c>
      <c r="C23" s="13" t="s">
        <v>4</v>
      </c>
      <c r="D23" s="37">
        <v>7.86</v>
      </c>
      <c r="E23" s="37">
        <v>12.64</v>
      </c>
      <c r="F23" s="245">
        <f t="shared" si="1"/>
        <v>160.81424936386767</v>
      </c>
      <c r="G23" s="21">
        <v>9.35</v>
      </c>
      <c r="H23" s="23"/>
      <c r="I23" s="245">
        <f t="shared" si="2"/>
        <v>73.97151898734177</v>
      </c>
      <c r="J23" s="20">
        <v>12.72</v>
      </c>
      <c r="K23" s="46"/>
      <c r="L23" s="20"/>
      <c r="M23" s="46"/>
    </row>
    <row r="24" spans="1:13" ht="12.75">
      <c r="A24" s="9" t="s">
        <v>37</v>
      </c>
      <c r="B24" s="25" t="s">
        <v>25</v>
      </c>
      <c r="C24" s="13" t="s">
        <v>4</v>
      </c>
      <c r="D24" s="37"/>
      <c r="E24" s="37"/>
      <c r="F24" s="245"/>
      <c r="G24" s="21"/>
      <c r="H24" s="23"/>
      <c r="I24" s="245"/>
      <c r="J24" s="19"/>
      <c r="K24" s="49"/>
      <c r="L24" s="19"/>
      <c r="M24" s="49"/>
    </row>
    <row r="25" spans="1:13" ht="12.75">
      <c r="A25" s="8">
        <v>3</v>
      </c>
      <c r="B25" s="27" t="s">
        <v>26</v>
      </c>
      <c r="C25" s="16" t="s">
        <v>4</v>
      </c>
      <c r="D25" s="54">
        <f>D11+D17</f>
        <v>44975.89000000001</v>
      </c>
      <c r="E25" s="54">
        <f>E11+E17</f>
        <v>47689.26</v>
      </c>
      <c r="F25" s="245">
        <f t="shared" si="1"/>
        <v>106.03294342813447</v>
      </c>
      <c r="G25" s="54">
        <f>G11+G17</f>
        <v>43754.236999999994</v>
      </c>
      <c r="H25" s="54">
        <f>H11+H17</f>
        <v>0</v>
      </c>
      <c r="I25" s="245">
        <f t="shared" si="2"/>
        <v>91.74861803265554</v>
      </c>
      <c r="J25" s="54">
        <f>J11+J17</f>
        <v>21403.159999999996</v>
      </c>
      <c r="K25" s="46"/>
      <c r="L25" s="19"/>
      <c r="M25" s="46"/>
    </row>
    <row r="26" spans="1:13" ht="30" customHeight="1">
      <c r="A26" s="12">
        <v>4</v>
      </c>
      <c r="B26" s="31" t="s">
        <v>27</v>
      </c>
      <c r="C26" s="13" t="s">
        <v>28</v>
      </c>
      <c r="D26" s="39">
        <f>D45/D44*100</f>
        <v>4.138198372129685</v>
      </c>
      <c r="E26" s="39">
        <f>E45/E44*100</f>
        <v>2.7208778445712243</v>
      </c>
      <c r="F26" s="246">
        <f t="shared" si="1"/>
        <v>65.75030000726983</v>
      </c>
      <c r="G26" s="39">
        <f>G45/G44*100</f>
        <v>5.1939679567207655</v>
      </c>
      <c r="H26" s="56"/>
      <c r="I26" s="246">
        <f t="shared" si="2"/>
        <v>190.89309603089765</v>
      </c>
      <c r="J26" s="39">
        <f>J45/J44*100</f>
        <v>5.1986989423374785</v>
      </c>
      <c r="K26" s="46"/>
      <c r="L26" s="19"/>
      <c r="M26" s="46"/>
    </row>
    <row r="27" spans="1:13" ht="25.5">
      <c r="A27" s="14">
        <v>5</v>
      </c>
      <c r="B27" s="15" t="s">
        <v>29</v>
      </c>
      <c r="C27" s="16" t="s">
        <v>4</v>
      </c>
      <c r="D27" s="39">
        <f>D25*D26/100</f>
        <v>1861.1915478308383</v>
      </c>
      <c r="E27" s="39">
        <f>E25*E26/100</f>
        <v>1297.566509579967</v>
      </c>
      <c r="F27" s="246">
        <f t="shared" si="1"/>
        <v>69.71697841053711</v>
      </c>
      <c r="G27" s="57">
        <f>G25*G26/100</f>
        <v>2272.581049487661</v>
      </c>
      <c r="H27" s="56"/>
      <c r="I27" s="246">
        <f t="shared" si="2"/>
        <v>175.1417775280987</v>
      </c>
      <c r="J27" s="39">
        <v>1112.96</v>
      </c>
      <c r="K27" s="46"/>
      <c r="L27" s="19"/>
      <c r="M27" s="46"/>
    </row>
    <row r="28" spans="1:13" ht="14.25" customHeight="1">
      <c r="A28" s="12">
        <v>6</v>
      </c>
      <c r="B28" s="10" t="s">
        <v>35</v>
      </c>
      <c r="C28" s="13" t="s">
        <v>4</v>
      </c>
      <c r="D28" s="37"/>
      <c r="E28" s="37"/>
      <c r="F28" s="245"/>
      <c r="G28" s="21"/>
      <c r="H28" s="23"/>
      <c r="I28" s="245"/>
      <c r="J28" s="19"/>
      <c r="K28" s="46"/>
      <c r="L28" s="21"/>
      <c r="M28" s="46"/>
    </row>
    <row r="29" spans="1:13" ht="15" customHeight="1">
      <c r="A29" s="12">
        <v>7</v>
      </c>
      <c r="B29" s="36" t="s">
        <v>24</v>
      </c>
      <c r="C29" s="13" t="s">
        <v>4</v>
      </c>
      <c r="D29" s="41"/>
      <c r="E29" s="41"/>
      <c r="F29" s="245"/>
      <c r="G29" s="21"/>
      <c r="H29" s="23"/>
      <c r="I29" s="245"/>
      <c r="J29" s="19"/>
      <c r="K29" s="46"/>
      <c r="L29" s="21"/>
      <c r="M29" s="49"/>
    </row>
    <row r="30" spans="1:13" ht="18" customHeight="1">
      <c r="A30" s="12">
        <v>8</v>
      </c>
      <c r="B30" s="15" t="s">
        <v>36</v>
      </c>
      <c r="C30" s="16" t="s">
        <v>4</v>
      </c>
      <c r="D30" s="39">
        <f>D27+D28+D29</f>
        <v>1861.1915478308383</v>
      </c>
      <c r="E30" s="39">
        <f>E27+E28+E29</f>
        <v>1297.566509579967</v>
      </c>
      <c r="F30" s="246">
        <f t="shared" si="1"/>
        <v>69.71697841053711</v>
      </c>
      <c r="G30" s="39">
        <f>G27+G28+G29</f>
        <v>2272.581049487661</v>
      </c>
      <c r="H30" s="39">
        <f>H27+H28+H29</f>
        <v>0</v>
      </c>
      <c r="I30" s="246">
        <f t="shared" si="2"/>
        <v>175.1417775280987</v>
      </c>
      <c r="J30" s="39">
        <f>J27+J28+J29</f>
        <v>1112.96</v>
      </c>
      <c r="K30" s="46"/>
      <c r="L30" s="19"/>
      <c r="M30" s="46"/>
    </row>
    <row r="31" spans="1:13" ht="15" customHeight="1">
      <c r="A31" s="12">
        <v>9</v>
      </c>
      <c r="B31" s="10" t="s">
        <v>67</v>
      </c>
      <c r="C31" s="16" t="s">
        <v>28</v>
      </c>
      <c r="D31" s="19"/>
      <c r="E31" s="19"/>
      <c r="F31" s="245"/>
      <c r="G31" s="19"/>
      <c r="H31" s="43"/>
      <c r="I31" s="245"/>
      <c r="J31" s="19">
        <v>10</v>
      </c>
      <c r="K31" s="43"/>
      <c r="L31" s="19"/>
      <c r="M31" s="43"/>
    </row>
    <row r="32" spans="1:13" ht="12.75">
      <c r="A32" s="14" t="s">
        <v>60</v>
      </c>
      <c r="B32" s="27" t="s">
        <v>30</v>
      </c>
      <c r="C32" s="16" t="s">
        <v>4</v>
      </c>
      <c r="D32" s="55">
        <f>D36-D30</f>
        <v>-817.5915478308384</v>
      </c>
      <c r="E32" s="55">
        <f>E36-E30</f>
        <v>-150.19650957996714</v>
      </c>
      <c r="F32" s="245">
        <f t="shared" si="1"/>
        <v>18.37060448807907</v>
      </c>
      <c r="G32" s="55">
        <f>G36-G30</f>
        <v>-1107.061049487661</v>
      </c>
      <c r="H32" s="55">
        <f>H36-H30</f>
        <v>0</v>
      </c>
      <c r="I32" s="245">
        <f t="shared" si="2"/>
        <v>737.0750842237403</v>
      </c>
      <c r="J32" s="55">
        <f>J30*J31/100</f>
        <v>111.296</v>
      </c>
      <c r="K32" s="46"/>
      <c r="L32" s="37"/>
      <c r="M32" s="46"/>
    </row>
    <row r="33" spans="1:13" ht="25.5">
      <c r="A33" s="12" t="s">
        <v>68</v>
      </c>
      <c r="B33" s="10" t="s">
        <v>31</v>
      </c>
      <c r="C33" s="13" t="s">
        <v>4</v>
      </c>
      <c r="D33" s="20"/>
      <c r="E33" s="20"/>
      <c r="F33" s="245"/>
      <c r="G33" s="35"/>
      <c r="H33" s="23"/>
      <c r="I33" s="245"/>
      <c r="J33" s="20"/>
      <c r="K33" s="46"/>
      <c r="L33" s="20"/>
      <c r="M33" s="49"/>
    </row>
    <row r="34" spans="1:13" ht="12.75">
      <c r="A34" s="12" t="s">
        <v>69</v>
      </c>
      <c r="B34" s="26" t="s">
        <v>32</v>
      </c>
      <c r="C34" s="13" t="s">
        <v>4</v>
      </c>
      <c r="D34" s="54"/>
      <c r="E34" s="54"/>
      <c r="F34" s="245"/>
      <c r="G34" s="54"/>
      <c r="H34" s="54"/>
      <c r="I34" s="245"/>
      <c r="J34" s="54">
        <f>J32*0.2</f>
        <v>22.259200000000003</v>
      </c>
      <c r="K34" s="46"/>
      <c r="L34" s="47"/>
      <c r="M34" s="46"/>
    </row>
    <row r="35" spans="1:13" ht="12.75">
      <c r="A35" s="12" t="s">
        <v>70</v>
      </c>
      <c r="B35" s="25" t="s">
        <v>33</v>
      </c>
      <c r="C35" s="13" t="s">
        <v>4</v>
      </c>
      <c r="D35" s="54"/>
      <c r="E35" s="54"/>
      <c r="F35" s="245"/>
      <c r="G35" s="54"/>
      <c r="H35" s="54"/>
      <c r="I35" s="245"/>
      <c r="J35" s="54">
        <f>J32-J33-J34</f>
        <v>89.0368</v>
      </c>
      <c r="K35" s="46"/>
      <c r="L35" s="47"/>
      <c r="M35" s="46"/>
    </row>
    <row r="36" spans="1:13" ht="25.5">
      <c r="A36" s="14" t="s">
        <v>61</v>
      </c>
      <c r="B36" s="17" t="s">
        <v>34</v>
      </c>
      <c r="C36" s="16" t="s">
        <v>4</v>
      </c>
      <c r="D36" s="22">
        <v>1043.6</v>
      </c>
      <c r="E36" s="22">
        <v>1147.37</v>
      </c>
      <c r="F36" s="246">
        <f t="shared" si="1"/>
        <v>109.94346492909159</v>
      </c>
      <c r="G36" s="22">
        <v>1165.52</v>
      </c>
      <c r="H36" s="23"/>
      <c r="I36" s="246">
        <f t="shared" si="2"/>
        <v>101.58187855704786</v>
      </c>
      <c r="J36" s="22">
        <f>J30+J32</f>
        <v>1224.256</v>
      </c>
      <c r="K36" s="46"/>
      <c r="L36" s="22"/>
      <c r="M36" s="46"/>
    </row>
    <row r="37" spans="1:13" ht="12.75">
      <c r="A37" s="12" t="s">
        <v>62</v>
      </c>
      <c r="B37" s="28" t="s">
        <v>44</v>
      </c>
      <c r="C37" s="6" t="s">
        <v>45</v>
      </c>
      <c r="D37" s="41">
        <v>208.9</v>
      </c>
      <c r="E37" s="41">
        <v>208.9</v>
      </c>
      <c r="F37" s="245">
        <f t="shared" si="1"/>
        <v>100</v>
      </c>
      <c r="G37" s="41">
        <v>208.9</v>
      </c>
      <c r="H37" s="41">
        <v>208.9</v>
      </c>
      <c r="I37" s="245">
        <f t="shared" si="2"/>
        <v>100</v>
      </c>
      <c r="J37" s="41">
        <v>208.9</v>
      </c>
      <c r="K37" s="48"/>
      <c r="L37" s="47"/>
      <c r="M37" s="48"/>
    </row>
    <row r="38" spans="1:13" ht="12.75">
      <c r="A38" s="14" t="s">
        <v>63</v>
      </c>
      <c r="B38" s="32" t="s">
        <v>46</v>
      </c>
      <c r="C38" s="33" t="s">
        <v>47</v>
      </c>
      <c r="D38" s="50">
        <f>D36/D37/12*1000</f>
        <v>416.30764321046746</v>
      </c>
      <c r="E38" s="62">
        <f>E36/E37/12*1000</f>
        <v>457.70304771022813</v>
      </c>
      <c r="F38" s="245">
        <f t="shared" si="1"/>
        <v>109.94346492909162</v>
      </c>
      <c r="G38" s="50">
        <f>G36/G37/12*1000</f>
        <v>464.9433540769108</v>
      </c>
      <c r="H38" s="50">
        <f>H36/H37/12*1000</f>
        <v>0</v>
      </c>
      <c r="I38" s="245">
        <f t="shared" si="2"/>
        <v>101.58187855704786</v>
      </c>
      <c r="J38" s="50">
        <f>J36/J37/12*1000</f>
        <v>488.37402265836926</v>
      </c>
      <c r="K38" s="46"/>
      <c r="L38" s="22"/>
      <c r="M38" s="46"/>
    </row>
    <row r="39" spans="1:13" ht="12.75">
      <c r="A39" s="12" t="s">
        <v>64</v>
      </c>
      <c r="B39" s="28" t="s">
        <v>48</v>
      </c>
      <c r="C39" s="6" t="s">
        <v>4</v>
      </c>
      <c r="D39" s="47">
        <v>632.67</v>
      </c>
      <c r="E39" s="47">
        <v>476.45</v>
      </c>
      <c r="F39" s="245">
        <f t="shared" si="1"/>
        <v>75.30782240346468</v>
      </c>
      <c r="G39" s="47">
        <v>868.9</v>
      </c>
      <c r="H39" s="23"/>
      <c r="I39" s="245">
        <f t="shared" si="2"/>
        <v>182.36960856333297</v>
      </c>
      <c r="J39" s="19">
        <v>943.03</v>
      </c>
      <c r="K39" s="48"/>
      <c r="L39" s="19"/>
      <c r="M39" s="48"/>
    </row>
    <row r="40" spans="1:13" ht="12.75">
      <c r="A40" s="12" t="s">
        <v>65</v>
      </c>
      <c r="B40" s="28" t="s">
        <v>49</v>
      </c>
      <c r="C40" s="6" t="s">
        <v>50</v>
      </c>
      <c r="D40" s="37">
        <v>18695.3</v>
      </c>
      <c r="E40" s="37">
        <v>12479.01</v>
      </c>
      <c r="F40" s="245">
        <f t="shared" si="1"/>
        <v>66.74945039662376</v>
      </c>
      <c r="G40" s="42">
        <v>24388.21</v>
      </c>
      <c r="H40" s="23"/>
      <c r="I40" s="245">
        <f t="shared" si="2"/>
        <v>195.43385252516023</v>
      </c>
      <c r="J40" s="51">
        <v>22907</v>
      </c>
      <c r="K40" s="48"/>
      <c r="L40" s="51"/>
      <c r="M40" s="48"/>
    </row>
    <row r="41" spans="1:13" ht="12.75">
      <c r="A41" s="14" t="s">
        <v>66</v>
      </c>
      <c r="B41" s="32" t="s">
        <v>51</v>
      </c>
      <c r="C41" s="33" t="s">
        <v>52</v>
      </c>
      <c r="D41" s="50">
        <f>D39/D40*1000</f>
        <v>33.84112584446358</v>
      </c>
      <c r="E41" s="50">
        <f>E39/E40*1000</f>
        <v>38.18011204414452</v>
      </c>
      <c r="F41" s="245">
        <f t="shared" si="1"/>
        <v>112.82163666665008</v>
      </c>
      <c r="G41" s="50">
        <f>G39/G40*1000</f>
        <v>35.627871008163375</v>
      </c>
      <c r="H41" s="50" t="e">
        <f>H39/H40*1000</f>
        <v>#DIV/0!</v>
      </c>
      <c r="I41" s="245">
        <f t="shared" si="2"/>
        <v>93.31526048684665</v>
      </c>
      <c r="J41" s="50">
        <f>J39/J40*1000</f>
        <v>41.167765311913385</v>
      </c>
      <c r="K41" s="48"/>
      <c r="L41" s="22"/>
      <c r="M41" s="48"/>
    </row>
    <row r="42" spans="1:13" ht="25.5">
      <c r="A42" s="14" t="s">
        <v>71</v>
      </c>
      <c r="B42" s="34" t="s">
        <v>53</v>
      </c>
      <c r="C42" s="16" t="s">
        <v>52</v>
      </c>
      <c r="D42" s="40">
        <f>(D36+D39)/D40*1000</f>
        <v>89.66264248233513</v>
      </c>
      <c r="E42" s="40">
        <f>(E36+E39)/E40*1000</f>
        <v>130.12410439610193</v>
      </c>
      <c r="F42" s="246">
        <f t="shared" si="1"/>
        <v>145.12633220879957</v>
      </c>
      <c r="G42" s="40">
        <f>(G36+G39)/G40*1000</f>
        <v>83.4181762417168</v>
      </c>
      <c r="H42" s="56"/>
      <c r="I42" s="246">
        <f t="shared" si="2"/>
        <v>64.10662853654631</v>
      </c>
      <c r="J42" s="40">
        <f>(J36+J39)/J40*1000</f>
        <v>94.61238922600079</v>
      </c>
      <c r="K42" s="46"/>
      <c r="L42" s="22"/>
      <c r="M42" s="46"/>
    </row>
    <row r="43" spans="1:13" ht="12.75">
      <c r="A43" s="29" t="s">
        <v>38</v>
      </c>
      <c r="B43" s="28"/>
      <c r="C43" s="6"/>
      <c r="D43" s="52"/>
      <c r="E43" s="52"/>
      <c r="F43" s="245"/>
      <c r="G43" s="19"/>
      <c r="H43" s="23"/>
      <c r="I43" s="245"/>
      <c r="J43" s="20"/>
      <c r="K43" s="48"/>
      <c r="L43" s="20"/>
      <c r="M43" s="48"/>
    </row>
    <row r="44" spans="1:13" ht="12.75">
      <c r="A44" s="30" t="s">
        <v>39</v>
      </c>
      <c r="B44" s="28"/>
      <c r="C44" s="6" t="s">
        <v>40</v>
      </c>
      <c r="D44" s="37">
        <v>463059</v>
      </c>
      <c r="E44" s="37">
        <v>470106</v>
      </c>
      <c r="F44" s="245">
        <f t="shared" si="1"/>
        <v>101.5218363102758</v>
      </c>
      <c r="G44" s="38">
        <v>480600</v>
      </c>
      <c r="H44" s="23"/>
      <c r="I44" s="245">
        <f t="shared" si="2"/>
        <v>102.23226251100816</v>
      </c>
      <c r="J44" s="51">
        <v>451940</v>
      </c>
      <c r="K44" s="48"/>
      <c r="L44" s="51"/>
      <c r="M44" s="48"/>
    </row>
    <row r="45" spans="1:13" ht="12.75">
      <c r="A45" s="30" t="s">
        <v>41</v>
      </c>
      <c r="B45" s="28"/>
      <c r="C45" s="6" t="s">
        <v>40</v>
      </c>
      <c r="D45" s="54">
        <f>D40+D46</f>
        <v>19162.3</v>
      </c>
      <c r="E45" s="54">
        <f>E40+E46</f>
        <v>12791.01</v>
      </c>
      <c r="F45" s="245">
        <f t="shared" si="1"/>
        <v>66.75091194689573</v>
      </c>
      <c r="G45" s="54">
        <f>G40+G46</f>
        <v>24962.21</v>
      </c>
      <c r="H45" s="54">
        <f>H40+H46</f>
        <v>0</v>
      </c>
      <c r="I45" s="245">
        <f t="shared" si="2"/>
        <v>195.15433104969816</v>
      </c>
      <c r="J45" s="54">
        <f>J40+J46</f>
        <v>23495</v>
      </c>
      <c r="K45" s="48"/>
      <c r="L45" s="52"/>
      <c r="M45" s="48"/>
    </row>
    <row r="46" spans="1:13" ht="12.75">
      <c r="A46" s="30" t="s">
        <v>54</v>
      </c>
      <c r="B46" s="28"/>
      <c r="C46" s="6" t="s">
        <v>40</v>
      </c>
      <c r="D46" s="44">
        <v>467</v>
      </c>
      <c r="E46" s="44">
        <v>312</v>
      </c>
      <c r="F46" s="245">
        <f t="shared" si="1"/>
        <v>66.80942184154176</v>
      </c>
      <c r="G46" s="38">
        <v>574</v>
      </c>
      <c r="H46" s="23"/>
      <c r="I46" s="245">
        <f t="shared" si="2"/>
        <v>183.97435897435898</v>
      </c>
      <c r="J46" s="51">
        <v>588</v>
      </c>
      <c r="K46" s="48"/>
      <c r="L46" s="51"/>
      <c r="M46" s="48"/>
    </row>
    <row r="47" spans="1:13" ht="12.75">
      <c r="A47" s="30" t="s">
        <v>55</v>
      </c>
      <c r="B47" s="28"/>
      <c r="C47" s="6" t="s">
        <v>28</v>
      </c>
      <c r="D47" s="55">
        <f>D46/D45*100</f>
        <v>2.4370769688398575</v>
      </c>
      <c r="E47" s="55">
        <f>E46/E45*100</f>
        <v>2.4392131661221437</v>
      </c>
      <c r="F47" s="245">
        <f t="shared" si="1"/>
        <v>100.08765407533696</v>
      </c>
      <c r="G47" s="58">
        <f>G46/G45*100</f>
        <v>2.299475887751926</v>
      </c>
      <c r="H47" s="56"/>
      <c r="I47" s="245">
        <f t="shared" si="2"/>
        <v>94.27121498395437</v>
      </c>
      <c r="J47" s="55">
        <f>J46/J45*100</f>
        <v>2.502660140455416</v>
      </c>
      <c r="K47" s="48"/>
      <c r="L47" s="37"/>
      <c r="M47" s="48"/>
    </row>
    <row r="48" spans="1:13" ht="12.75">
      <c r="A48" s="30" t="s">
        <v>56</v>
      </c>
      <c r="B48" s="28"/>
      <c r="C48" s="6" t="s">
        <v>52</v>
      </c>
      <c r="D48" s="37">
        <f>D51/D46*1000</f>
        <v>1354.7516059957172</v>
      </c>
      <c r="E48" s="37">
        <f aca="true" t="shared" si="3" ref="E48:J48">E51/E46*1000</f>
        <v>1528.3653846153845</v>
      </c>
      <c r="F48" s="245">
        <f t="shared" si="1"/>
        <v>112.81517422465532</v>
      </c>
      <c r="G48" s="37">
        <f t="shared" si="3"/>
        <v>1513.7578397212546</v>
      </c>
      <c r="H48" s="37" t="e">
        <f t="shared" si="3"/>
        <v>#DIV/0!</v>
      </c>
      <c r="I48" s="245">
        <f t="shared" si="2"/>
        <v>99.0442373897518</v>
      </c>
      <c r="J48" s="37">
        <f t="shared" si="3"/>
        <v>1603.7925170068027</v>
      </c>
      <c r="K48" s="48"/>
      <c r="L48" s="20"/>
      <c r="M48" s="48"/>
    </row>
    <row r="49" spans="1:13" ht="12.75">
      <c r="A49" s="30" t="s">
        <v>57</v>
      </c>
      <c r="B49" s="28"/>
      <c r="C49" s="6" t="s">
        <v>42</v>
      </c>
      <c r="D49" s="42">
        <v>61</v>
      </c>
      <c r="E49" s="42">
        <v>61</v>
      </c>
      <c r="F49" s="245">
        <f t="shared" si="1"/>
        <v>100</v>
      </c>
      <c r="G49" s="21">
        <v>61</v>
      </c>
      <c r="H49" s="23"/>
      <c r="I49" s="245">
        <f t="shared" si="2"/>
        <v>100</v>
      </c>
      <c r="J49" s="47">
        <f>G49</f>
        <v>61</v>
      </c>
      <c r="K49" s="48"/>
      <c r="L49" s="47"/>
      <c r="M49" s="48"/>
    </row>
    <row r="50" spans="1:13" ht="12.75">
      <c r="A50" s="30" t="s">
        <v>58</v>
      </c>
      <c r="B50" s="28"/>
      <c r="C50" s="6" t="s">
        <v>43</v>
      </c>
      <c r="D50" s="59">
        <f>D13/D49/12*1000</f>
        <v>24943.797814207654</v>
      </c>
      <c r="E50" s="59">
        <f>E13/E49/12*1000</f>
        <v>29987.6912568306</v>
      </c>
      <c r="F50" s="245">
        <f t="shared" si="1"/>
        <v>120.22103241932956</v>
      </c>
      <c r="G50" s="59">
        <f>G13/G49/12*1000</f>
        <v>29564.43989071038</v>
      </c>
      <c r="H50" s="56"/>
      <c r="I50" s="245">
        <f t="shared" si="2"/>
        <v>98.58858302062913</v>
      </c>
      <c r="J50" s="59">
        <f>J13/J49/12*1000</f>
        <v>10336.953551912567</v>
      </c>
      <c r="K50" s="46"/>
      <c r="L50" s="35"/>
      <c r="M50" s="46"/>
    </row>
    <row r="51" spans="1:10" ht="12.75">
      <c r="A51" s="327" t="s">
        <v>226</v>
      </c>
      <c r="B51" s="328"/>
      <c r="C51" s="6" t="s">
        <v>4</v>
      </c>
      <c r="D51" s="252">
        <v>632.669</v>
      </c>
      <c r="E51" s="64">
        <v>476.85</v>
      </c>
      <c r="F51" s="245">
        <f t="shared" si="1"/>
        <v>75.37116564902027</v>
      </c>
      <c r="G51" s="28">
        <v>868.897</v>
      </c>
      <c r="I51" s="245">
        <f t="shared" si="2"/>
        <v>182.21600083883823</v>
      </c>
      <c r="J51" s="28">
        <v>943.03</v>
      </c>
    </row>
    <row r="52" spans="1:10" ht="12.75" hidden="1">
      <c r="A52" s="327" t="s">
        <v>81</v>
      </c>
      <c r="B52" s="328"/>
      <c r="C52" s="6" t="s">
        <v>4</v>
      </c>
      <c r="D52" s="63">
        <f>D51-D39</f>
        <v>-0.0009999999999763531</v>
      </c>
      <c r="E52" s="63">
        <f>E51-E39</f>
        <v>0.4000000000000341</v>
      </c>
      <c r="F52" s="245"/>
      <c r="G52" s="63">
        <f>G51-G39</f>
        <v>-0.0029999999999290594</v>
      </c>
      <c r="H52" s="61">
        <f>H51-H39</f>
        <v>0</v>
      </c>
      <c r="I52" s="245"/>
      <c r="J52" s="28"/>
    </row>
    <row r="53" spans="2:10" ht="12.75">
      <c r="B53" s="18"/>
      <c r="C53" s="9"/>
      <c r="D53" s="28"/>
      <c r="E53" s="28"/>
      <c r="F53" s="28"/>
      <c r="G53" s="28"/>
      <c r="I53" s="28"/>
      <c r="J53" s="28"/>
    </row>
    <row r="54" spans="1:10" ht="12.75">
      <c r="A54" s="263" t="s">
        <v>219</v>
      </c>
      <c r="B54" s="324"/>
      <c r="C54" s="247"/>
      <c r="D54" s="248"/>
      <c r="E54" s="247"/>
      <c r="F54" s="248"/>
      <c r="G54" s="329"/>
      <c r="H54" s="330"/>
      <c r="I54" s="247"/>
      <c r="J54" s="28"/>
    </row>
    <row r="55" spans="1:10" ht="12.75">
      <c r="A55" s="263" t="s">
        <v>220</v>
      </c>
      <c r="B55" s="324"/>
      <c r="C55" s="247" t="s">
        <v>4</v>
      </c>
      <c r="D55" s="250">
        <f>D36+D39</f>
        <v>1676.27</v>
      </c>
      <c r="E55" s="250">
        <f>E36+E39</f>
        <v>1623.82</v>
      </c>
      <c r="F55" s="249"/>
      <c r="G55" s="325">
        <f>G36+G39</f>
        <v>2034.42</v>
      </c>
      <c r="H55" s="326">
        <f>H36+H39</f>
        <v>0</v>
      </c>
      <c r="I55" s="247"/>
      <c r="J55" s="63">
        <f>J36+J39</f>
        <v>2167.286</v>
      </c>
    </row>
    <row r="56" spans="1:10" ht="12.75">
      <c r="A56" s="263" t="s">
        <v>221</v>
      </c>
      <c r="B56" s="324"/>
      <c r="C56" s="247" t="s">
        <v>4</v>
      </c>
      <c r="D56" s="251">
        <f>D30+D51</f>
        <v>2493.860547830838</v>
      </c>
      <c r="E56" s="251">
        <f>E30+E51</f>
        <v>1774.4165095799672</v>
      </c>
      <c r="F56" s="249"/>
      <c r="G56" s="325">
        <f>G30+G51</f>
        <v>3141.478049487661</v>
      </c>
      <c r="H56" s="326">
        <f>H30+H51</f>
        <v>0</v>
      </c>
      <c r="I56" s="247"/>
      <c r="J56" s="63">
        <f>J30+J51</f>
        <v>2055.99</v>
      </c>
    </row>
    <row r="57" spans="1:10" ht="12.75">
      <c r="A57" s="263" t="s">
        <v>222</v>
      </c>
      <c r="B57" s="324"/>
      <c r="C57" s="247" t="s">
        <v>4</v>
      </c>
      <c r="D57" s="251">
        <f>D55-D56</f>
        <v>-817.5905478308382</v>
      </c>
      <c r="E57" s="250">
        <f>E55-E56</f>
        <v>-150.59650957996723</v>
      </c>
      <c r="F57" s="249"/>
      <c r="G57" s="325">
        <f>G55-G56</f>
        <v>-1107.0580494876608</v>
      </c>
      <c r="H57" s="326">
        <f>H55-H56</f>
        <v>0</v>
      </c>
      <c r="I57" s="247"/>
      <c r="J57" s="63">
        <f>J55-J56</f>
        <v>111.29600000000028</v>
      </c>
    </row>
    <row r="58" spans="1:10" ht="12.75">
      <c r="A58" s="263" t="s">
        <v>223</v>
      </c>
      <c r="B58" s="324"/>
      <c r="C58" s="9" t="s">
        <v>28</v>
      </c>
      <c r="D58" s="250">
        <f>D57/D56*100</f>
        <v>-32.78413255873425</v>
      </c>
      <c r="E58" s="250">
        <f>E57/E56*100</f>
        <v>-8.487100337880413</v>
      </c>
      <c r="F58" s="250"/>
      <c r="G58" s="250">
        <f>G57/G56*100</f>
        <v>-35.24003771626573</v>
      </c>
      <c r="H58" s="250" t="e">
        <f>H57/H56*100</f>
        <v>#DIV/0!</v>
      </c>
      <c r="I58" s="63"/>
      <c r="J58" s="63">
        <f>J57/J56*100</f>
        <v>5.413255901050117</v>
      </c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  <row r="203" ht="12.75">
      <c r="B203" s="18"/>
    </row>
    <row r="204" ht="12.75">
      <c r="B204" s="18"/>
    </row>
    <row r="205" ht="12.75">
      <c r="B205" s="18"/>
    </row>
    <row r="206" ht="12.75">
      <c r="B206" s="18"/>
    </row>
    <row r="207" ht="12.75">
      <c r="B207" s="18"/>
    </row>
    <row r="208" ht="12.75">
      <c r="B208" s="18"/>
    </row>
    <row r="209" ht="12.75">
      <c r="B209" s="18"/>
    </row>
    <row r="210" ht="12.75">
      <c r="B210" s="18"/>
    </row>
    <row r="211" ht="12.75">
      <c r="B211" s="18"/>
    </row>
    <row r="212" ht="12.75">
      <c r="B212" s="18"/>
    </row>
    <row r="213" ht="12.75">
      <c r="B213" s="18"/>
    </row>
    <row r="214" ht="12.75">
      <c r="B214" s="18"/>
    </row>
    <row r="215" ht="12.75">
      <c r="B215" s="18"/>
    </row>
    <row r="216" ht="12.75">
      <c r="B216" s="18"/>
    </row>
    <row r="217" ht="12.75">
      <c r="B217" s="18"/>
    </row>
    <row r="218" ht="12.75">
      <c r="B218" s="18"/>
    </row>
    <row r="219" ht="12.75">
      <c r="B219" s="18"/>
    </row>
    <row r="220" ht="12.75">
      <c r="B220" s="18"/>
    </row>
    <row r="221" ht="12.75">
      <c r="B221" s="18"/>
    </row>
    <row r="222" ht="12.75">
      <c r="B222" s="18"/>
    </row>
    <row r="223" ht="12.75">
      <c r="B223" s="18"/>
    </row>
    <row r="224" ht="12.75">
      <c r="B224" s="18"/>
    </row>
    <row r="225" ht="12.75">
      <c r="B225" s="18"/>
    </row>
    <row r="226" ht="12.75">
      <c r="B226" s="18"/>
    </row>
    <row r="227" ht="12.75">
      <c r="B227" s="18"/>
    </row>
    <row r="228" ht="12.75">
      <c r="B228" s="18"/>
    </row>
    <row r="229" ht="12.75">
      <c r="B229" s="18"/>
    </row>
    <row r="230" ht="12.75">
      <c r="B230" s="18"/>
    </row>
    <row r="231" ht="12.75">
      <c r="B231" s="18"/>
    </row>
    <row r="232" ht="12.75">
      <c r="B232" s="18"/>
    </row>
    <row r="233" ht="12.75">
      <c r="B233" s="18"/>
    </row>
    <row r="234" ht="12.75">
      <c r="B234" s="18"/>
    </row>
    <row r="235" ht="12.75">
      <c r="B235" s="18"/>
    </row>
    <row r="236" ht="12.75">
      <c r="B236" s="18"/>
    </row>
    <row r="237" ht="12.75">
      <c r="B237" s="18"/>
    </row>
    <row r="238" ht="12.75">
      <c r="B238" s="18"/>
    </row>
    <row r="239" ht="12.75">
      <c r="B239" s="18"/>
    </row>
    <row r="240" ht="12.75">
      <c r="B240" s="18"/>
    </row>
    <row r="241" ht="12.75">
      <c r="B241" s="18"/>
    </row>
    <row r="242" ht="12.75">
      <c r="B242" s="18"/>
    </row>
    <row r="243" ht="12.75">
      <c r="B243" s="18"/>
    </row>
    <row r="244" ht="12.75">
      <c r="B244" s="18"/>
    </row>
    <row r="245" ht="12.75">
      <c r="B245" s="18"/>
    </row>
    <row r="246" ht="12.75">
      <c r="B246" s="18"/>
    </row>
    <row r="247" ht="12.75">
      <c r="B247" s="18"/>
    </row>
    <row r="248" ht="12.75">
      <c r="B248" s="18"/>
    </row>
    <row r="249" ht="12.75">
      <c r="B249" s="18"/>
    </row>
    <row r="250" ht="12.75">
      <c r="B250" s="18"/>
    </row>
    <row r="251" ht="12.75">
      <c r="B251" s="18"/>
    </row>
    <row r="252" ht="12.75">
      <c r="B252" s="18"/>
    </row>
    <row r="253" ht="12.75">
      <c r="B253" s="18"/>
    </row>
    <row r="254" ht="12.75">
      <c r="B254" s="18"/>
    </row>
    <row r="255" ht="12.75">
      <c r="B255" s="18"/>
    </row>
    <row r="256" ht="12.75">
      <c r="B256" s="18"/>
    </row>
    <row r="257" ht="12.75">
      <c r="B257" s="18"/>
    </row>
    <row r="258" ht="12.75">
      <c r="B258" s="18"/>
    </row>
    <row r="259" ht="12.75">
      <c r="B259" s="18"/>
    </row>
    <row r="260" ht="12.75">
      <c r="B260" s="18"/>
    </row>
    <row r="261" ht="12.75">
      <c r="B261" s="18"/>
    </row>
    <row r="262" ht="12.75">
      <c r="B262" s="18"/>
    </row>
    <row r="263" ht="12.75">
      <c r="B263" s="18"/>
    </row>
    <row r="264" ht="12.75">
      <c r="B264" s="18"/>
    </row>
    <row r="265" ht="12.75">
      <c r="B265" s="18"/>
    </row>
    <row r="266" ht="12.75">
      <c r="B266" s="18"/>
    </row>
    <row r="267" ht="12.75">
      <c r="B267" s="18"/>
    </row>
    <row r="268" ht="12.75">
      <c r="B268" s="18"/>
    </row>
    <row r="269" ht="12.75">
      <c r="B269" s="18"/>
    </row>
    <row r="270" ht="12.75">
      <c r="B270" s="18"/>
    </row>
    <row r="271" ht="12.75">
      <c r="B271" s="18"/>
    </row>
    <row r="272" ht="12.75">
      <c r="B272" s="18"/>
    </row>
    <row r="273" ht="12.75">
      <c r="B273" s="18"/>
    </row>
    <row r="274" ht="12.75">
      <c r="B274" s="18"/>
    </row>
    <row r="275" ht="12.75">
      <c r="B275" s="18"/>
    </row>
    <row r="276" ht="12.75">
      <c r="B276" s="18"/>
    </row>
    <row r="277" ht="12.75">
      <c r="B277" s="18"/>
    </row>
    <row r="278" ht="12.75">
      <c r="B278" s="18"/>
    </row>
    <row r="279" ht="12.75">
      <c r="B279" s="18"/>
    </row>
    <row r="280" ht="12.75">
      <c r="B280" s="18"/>
    </row>
    <row r="281" ht="12.75">
      <c r="B281" s="18"/>
    </row>
    <row r="282" ht="12.75">
      <c r="B282" s="18"/>
    </row>
    <row r="283" ht="12.75">
      <c r="B283" s="18"/>
    </row>
    <row r="284" ht="12.75">
      <c r="B284" s="18"/>
    </row>
    <row r="285" ht="12.75">
      <c r="B285" s="18"/>
    </row>
    <row r="286" ht="12.75">
      <c r="B286" s="18"/>
    </row>
    <row r="287" ht="12.75">
      <c r="B287" s="18"/>
    </row>
    <row r="288" ht="12.75">
      <c r="B288" s="18"/>
    </row>
    <row r="289" ht="12.75">
      <c r="B289" s="18"/>
    </row>
    <row r="290" ht="12.75">
      <c r="B290" s="18"/>
    </row>
    <row r="291" ht="12.75">
      <c r="B291" s="18"/>
    </row>
    <row r="292" ht="12.75">
      <c r="B292" s="18"/>
    </row>
    <row r="293" ht="12.75">
      <c r="B293" s="18"/>
    </row>
    <row r="294" ht="12.75">
      <c r="B294" s="18"/>
    </row>
    <row r="295" ht="12.75">
      <c r="B295" s="18"/>
    </row>
    <row r="296" ht="12.75">
      <c r="B296" s="18"/>
    </row>
    <row r="297" ht="12.75">
      <c r="B297" s="18"/>
    </row>
    <row r="298" ht="12.75">
      <c r="B298" s="18"/>
    </row>
    <row r="299" ht="12.75">
      <c r="B299" s="18"/>
    </row>
    <row r="300" ht="12.75">
      <c r="B300" s="18"/>
    </row>
    <row r="301" ht="12.75">
      <c r="B301" s="18"/>
    </row>
    <row r="302" ht="12.75">
      <c r="B302" s="18"/>
    </row>
    <row r="303" ht="12.75">
      <c r="B303" s="18"/>
    </row>
    <row r="304" ht="12.75">
      <c r="B304" s="18"/>
    </row>
    <row r="305" ht="12.75">
      <c r="B305" s="18"/>
    </row>
    <row r="306" ht="12.75">
      <c r="B306" s="18"/>
    </row>
    <row r="307" ht="12.75">
      <c r="B307" s="18"/>
    </row>
    <row r="308" ht="12.75">
      <c r="B308" s="18"/>
    </row>
    <row r="309" ht="12.75">
      <c r="B309" s="18"/>
    </row>
    <row r="310" ht="12.75">
      <c r="B310" s="18"/>
    </row>
    <row r="311" ht="12.75">
      <c r="B311" s="18"/>
    </row>
    <row r="312" ht="12.75">
      <c r="B312" s="18"/>
    </row>
    <row r="313" ht="12.75">
      <c r="B313" s="18"/>
    </row>
    <row r="314" ht="12.75">
      <c r="B314" s="18"/>
    </row>
    <row r="315" ht="12.75">
      <c r="B315" s="18"/>
    </row>
    <row r="316" ht="12.75">
      <c r="B316" s="18"/>
    </row>
    <row r="317" ht="12.75">
      <c r="B317" s="18"/>
    </row>
    <row r="318" ht="12.75">
      <c r="B318" s="18"/>
    </row>
    <row r="319" ht="12.75">
      <c r="B319" s="18"/>
    </row>
    <row r="320" ht="12.75">
      <c r="B320" s="18"/>
    </row>
    <row r="321" ht="12.75">
      <c r="B321" s="18"/>
    </row>
    <row r="322" ht="12.75">
      <c r="B322" s="18"/>
    </row>
    <row r="323" ht="12.75">
      <c r="B323" s="18"/>
    </row>
    <row r="324" ht="12.75">
      <c r="B324" s="18"/>
    </row>
    <row r="325" ht="12.75">
      <c r="B325" s="18"/>
    </row>
    <row r="326" ht="12.75">
      <c r="B326" s="18"/>
    </row>
    <row r="327" ht="12.75">
      <c r="B327" s="18"/>
    </row>
    <row r="328" ht="12.75">
      <c r="B328" s="18"/>
    </row>
    <row r="329" ht="12.75">
      <c r="B329" s="18"/>
    </row>
    <row r="330" ht="12.75">
      <c r="B330" s="18"/>
    </row>
    <row r="331" ht="12.75"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  <row r="451" ht="12.75">
      <c r="B451" s="18"/>
    </row>
    <row r="452" ht="12.75">
      <c r="B452" s="18"/>
    </row>
    <row r="453" ht="12.75">
      <c r="B453" s="18"/>
    </row>
    <row r="454" ht="12.75">
      <c r="B454" s="18"/>
    </row>
    <row r="455" ht="12.75">
      <c r="B455" s="18"/>
    </row>
    <row r="456" ht="12.75">
      <c r="B456" s="18"/>
    </row>
    <row r="457" ht="12.75">
      <c r="B457" s="18"/>
    </row>
    <row r="458" ht="12.75">
      <c r="B458" s="18"/>
    </row>
    <row r="459" ht="12.75">
      <c r="B459" s="18"/>
    </row>
    <row r="460" ht="12.75">
      <c r="B460" s="18"/>
    </row>
    <row r="461" ht="12.75">
      <c r="B461" s="18"/>
    </row>
    <row r="462" ht="12.75">
      <c r="B462" s="18"/>
    </row>
    <row r="463" ht="12.75">
      <c r="B463" s="18"/>
    </row>
    <row r="464" ht="12.75">
      <c r="B464" s="18"/>
    </row>
    <row r="465" ht="12.75">
      <c r="B465" s="18"/>
    </row>
    <row r="466" ht="12.75">
      <c r="B466" s="18"/>
    </row>
    <row r="467" ht="12.75">
      <c r="B467" s="18"/>
    </row>
    <row r="468" ht="12.75">
      <c r="B468" s="18"/>
    </row>
    <row r="469" ht="12.75">
      <c r="B469" s="18"/>
    </row>
    <row r="470" ht="12.75">
      <c r="B470" s="18"/>
    </row>
    <row r="471" ht="12.75">
      <c r="B471" s="18"/>
    </row>
    <row r="472" ht="12.75">
      <c r="B472" s="18"/>
    </row>
    <row r="473" ht="12.75">
      <c r="B473" s="18"/>
    </row>
    <row r="474" ht="12.75">
      <c r="B474" s="18"/>
    </row>
    <row r="475" ht="12.75">
      <c r="B475" s="18"/>
    </row>
    <row r="476" ht="12.75">
      <c r="B476" s="18"/>
    </row>
    <row r="477" ht="12.75">
      <c r="B477" s="18"/>
    </row>
    <row r="478" ht="12.75">
      <c r="B478" s="18"/>
    </row>
    <row r="479" ht="12.75">
      <c r="B479" s="18"/>
    </row>
    <row r="480" ht="12.75">
      <c r="B480" s="18"/>
    </row>
    <row r="481" ht="12.75">
      <c r="B481" s="18"/>
    </row>
    <row r="482" ht="12.75">
      <c r="B482" s="18"/>
    </row>
    <row r="483" ht="12.75">
      <c r="B483" s="18"/>
    </row>
    <row r="484" ht="12.75">
      <c r="B484" s="18"/>
    </row>
    <row r="485" ht="12.75">
      <c r="B485" s="18"/>
    </row>
    <row r="486" ht="12.75">
      <c r="B486" s="18"/>
    </row>
    <row r="487" ht="12.75">
      <c r="B487" s="18"/>
    </row>
    <row r="488" ht="12.75">
      <c r="B488" s="18"/>
    </row>
    <row r="489" ht="12.75">
      <c r="B489" s="18"/>
    </row>
    <row r="490" ht="12.75">
      <c r="B490" s="18"/>
    </row>
    <row r="491" ht="12.75">
      <c r="B491" s="18"/>
    </row>
    <row r="492" ht="12.75">
      <c r="B492" s="18"/>
    </row>
    <row r="493" ht="12.75">
      <c r="B493" s="18"/>
    </row>
    <row r="494" ht="12.75">
      <c r="B494" s="18"/>
    </row>
    <row r="495" ht="12.75">
      <c r="B495" s="18"/>
    </row>
    <row r="496" ht="12.75">
      <c r="B496" s="18"/>
    </row>
    <row r="497" ht="12.75">
      <c r="B497" s="18"/>
    </row>
    <row r="498" ht="12.75">
      <c r="B498" s="18"/>
    </row>
    <row r="499" ht="12.75">
      <c r="B499" s="18"/>
    </row>
    <row r="500" ht="12.75">
      <c r="B500" s="18"/>
    </row>
    <row r="501" ht="12.75">
      <c r="B501" s="18"/>
    </row>
    <row r="502" ht="12.75">
      <c r="B502" s="18"/>
    </row>
    <row r="503" ht="12.75">
      <c r="B503" s="18"/>
    </row>
    <row r="504" ht="12.75">
      <c r="B504" s="18"/>
    </row>
    <row r="505" ht="12.75">
      <c r="B505" s="18"/>
    </row>
    <row r="506" ht="12.75">
      <c r="B506" s="18"/>
    </row>
    <row r="507" ht="12.75">
      <c r="B507" s="18"/>
    </row>
    <row r="508" ht="12.75">
      <c r="B508" s="18"/>
    </row>
    <row r="509" ht="12.75">
      <c r="B509" s="18"/>
    </row>
    <row r="510" ht="12.75">
      <c r="B510" s="18"/>
    </row>
    <row r="511" ht="12.75">
      <c r="B511" s="18"/>
    </row>
    <row r="512" ht="12.75">
      <c r="B512" s="18"/>
    </row>
    <row r="513" ht="12.75">
      <c r="B513" s="18"/>
    </row>
    <row r="514" ht="12.75">
      <c r="B514" s="18"/>
    </row>
    <row r="515" ht="12.75">
      <c r="B515" s="18"/>
    </row>
    <row r="516" ht="12.75">
      <c r="B516" s="18"/>
    </row>
    <row r="517" ht="12.75">
      <c r="B517" s="18"/>
    </row>
    <row r="518" ht="12.75">
      <c r="B518" s="18"/>
    </row>
    <row r="519" ht="12.75">
      <c r="B519" s="18"/>
    </row>
    <row r="520" ht="12.75">
      <c r="B520" s="18"/>
    </row>
    <row r="521" ht="12.75">
      <c r="B521" s="18"/>
    </row>
    <row r="522" ht="12.75">
      <c r="B522" s="18"/>
    </row>
    <row r="523" ht="12.75">
      <c r="B523" s="18"/>
    </row>
    <row r="524" ht="12.75">
      <c r="B524" s="18"/>
    </row>
    <row r="525" ht="12.75">
      <c r="B525" s="18"/>
    </row>
    <row r="526" ht="12.75">
      <c r="B526" s="18"/>
    </row>
    <row r="527" ht="12.75">
      <c r="B527" s="18"/>
    </row>
    <row r="528" ht="12.75">
      <c r="B528" s="18"/>
    </row>
    <row r="529" ht="12.75">
      <c r="B529" s="18"/>
    </row>
    <row r="530" ht="12.75">
      <c r="B530" s="18"/>
    </row>
    <row r="531" ht="12.75">
      <c r="B531" s="18"/>
    </row>
    <row r="532" ht="12.75">
      <c r="B532" s="18"/>
    </row>
    <row r="533" ht="12.75">
      <c r="B533" s="18"/>
    </row>
    <row r="534" ht="12.75">
      <c r="B534" s="18"/>
    </row>
    <row r="535" ht="12.75">
      <c r="B535" s="18"/>
    </row>
    <row r="536" ht="12.75">
      <c r="B536" s="18"/>
    </row>
    <row r="537" ht="12.75">
      <c r="B537" s="18"/>
    </row>
    <row r="538" ht="12.75">
      <c r="B538" s="18"/>
    </row>
    <row r="539" ht="12.75">
      <c r="B539" s="18"/>
    </row>
    <row r="540" ht="12.75">
      <c r="B540" s="18"/>
    </row>
    <row r="541" ht="12.75">
      <c r="B541" s="18"/>
    </row>
    <row r="542" ht="12.75">
      <c r="B542" s="18"/>
    </row>
    <row r="543" ht="12.75">
      <c r="B543" s="18"/>
    </row>
    <row r="544" ht="12.75">
      <c r="B544" s="18"/>
    </row>
    <row r="545" ht="12.75">
      <c r="B545" s="18"/>
    </row>
    <row r="546" ht="12.75">
      <c r="B546" s="18"/>
    </row>
    <row r="547" ht="12.75">
      <c r="B547" s="18"/>
    </row>
    <row r="548" ht="12.75">
      <c r="B548" s="18"/>
    </row>
    <row r="549" ht="12.75">
      <c r="B549" s="18"/>
    </row>
    <row r="550" ht="12.75">
      <c r="B550" s="18"/>
    </row>
    <row r="551" ht="12.75">
      <c r="B551" s="18"/>
    </row>
    <row r="552" ht="12.75">
      <c r="B552" s="18"/>
    </row>
    <row r="553" ht="12.75">
      <c r="B553" s="18"/>
    </row>
    <row r="554" ht="12.75">
      <c r="B554" s="18"/>
    </row>
    <row r="555" ht="12.75">
      <c r="B555" s="18"/>
    </row>
    <row r="556" ht="12.75">
      <c r="B556" s="18"/>
    </row>
    <row r="557" ht="12.75">
      <c r="B557" s="18"/>
    </row>
    <row r="558" ht="12.75">
      <c r="B558" s="18"/>
    </row>
    <row r="559" ht="12.75">
      <c r="B559" s="18"/>
    </row>
    <row r="560" ht="12.75">
      <c r="B560" s="18"/>
    </row>
    <row r="561" ht="12.75">
      <c r="B561" s="18"/>
    </row>
    <row r="562" ht="12.75">
      <c r="B562" s="18"/>
    </row>
    <row r="563" ht="12.75">
      <c r="B563" s="18"/>
    </row>
    <row r="564" ht="12.75">
      <c r="B564" s="18"/>
    </row>
    <row r="565" ht="12.75">
      <c r="B565" s="18"/>
    </row>
    <row r="566" ht="12.75">
      <c r="B566" s="18"/>
    </row>
    <row r="567" ht="12.75">
      <c r="B567" s="18"/>
    </row>
    <row r="568" ht="12.75">
      <c r="B568" s="18"/>
    </row>
    <row r="569" ht="12.75">
      <c r="B569" s="18"/>
    </row>
    <row r="570" ht="12.75">
      <c r="B570" s="18"/>
    </row>
    <row r="571" ht="12.75">
      <c r="B571" s="18"/>
    </row>
    <row r="572" ht="12.75">
      <c r="B572" s="18"/>
    </row>
    <row r="573" ht="12.75">
      <c r="B573" s="18"/>
    </row>
    <row r="574" ht="12.75">
      <c r="B574" s="18"/>
    </row>
    <row r="575" ht="12.75">
      <c r="B575" s="18"/>
    </row>
    <row r="576" ht="12.75">
      <c r="B576" s="18"/>
    </row>
    <row r="577" ht="12.75">
      <c r="B577" s="18"/>
    </row>
    <row r="578" ht="12.75">
      <c r="B578" s="18"/>
    </row>
    <row r="579" ht="12.75">
      <c r="B579" s="18"/>
    </row>
    <row r="580" ht="12.75">
      <c r="B580" s="18"/>
    </row>
    <row r="581" ht="12.75">
      <c r="B581" s="18"/>
    </row>
    <row r="582" ht="12.75">
      <c r="B582" s="18"/>
    </row>
    <row r="583" ht="12.75">
      <c r="B583" s="18"/>
    </row>
    <row r="584" ht="12.75">
      <c r="B584" s="18"/>
    </row>
    <row r="585" ht="12.75">
      <c r="B585" s="18"/>
    </row>
    <row r="586" ht="12.75">
      <c r="B586" s="18"/>
    </row>
    <row r="587" ht="12.75">
      <c r="B587" s="18"/>
    </row>
    <row r="588" ht="12.75">
      <c r="B588" s="18"/>
    </row>
    <row r="589" ht="12.75">
      <c r="B589" s="18"/>
    </row>
    <row r="590" ht="12.75">
      <c r="B590" s="18"/>
    </row>
    <row r="591" ht="12.75">
      <c r="B591" s="18"/>
    </row>
    <row r="592" ht="12.75">
      <c r="B592" s="18"/>
    </row>
    <row r="593" ht="12.75">
      <c r="B593" s="18"/>
    </row>
    <row r="594" ht="12.75">
      <c r="B594" s="18"/>
    </row>
    <row r="595" ht="12.75">
      <c r="B595" s="18"/>
    </row>
    <row r="596" ht="12.75">
      <c r="B596" s="18"/>
    </row>
    <row r="597" ht="12.75">
      <c r="B597" s="18"/>
    </row>
    <row r="598" ht="12.75">
      <c r="B598" s="18"/>
    </row>
    <row r="599" ht="12.75">
      <c r="B599" s="18"/>
    </row>
    <row r="600" ht="12.75">
      <c r="B600" s="18"/>
    </row>
    <row r="601" ht="12.75">
      <c r="B601" s="18"/>
    </row>
    <row r="602" ht="12.75">
      <c r="B602" s="18"/>
    </row>
    <row r="603" ht="12.75">
      <c r="B603" s="18"/>
    </row>
    <row r="604" ht="12.75">
      <c r="B604" s="18"/>
    </row>
    <row r="605" ht="12.75">
      <c r="B605" s="18"/>
    </row>
    <row r="606" ht="12.75">
      <c r="B606" s="18"/>
    </row>
    <row r="607" ht="12.75">
      <c r="B607" s="18"/>
    </row>
    <row r="608" ht="12.75">
      <c r="B608" s="18"/>
    </row>
    <row r="609" ht="12.75">
      <c r="B609" s="18"/>
    </row>
    <row r="610" ht="12.75">
      <c r="B610" s="18"/>
    </row>
    <row r="611" ht="12.75">
      <c r="B611" s="18"/>
    </row>
    <row r="612" ht="12.75">
      <c r="B612" s="18"/>
    </row>
    <row r="613" ht="12.75">
      <c r="B613" s="18"/>
    </row>
    <row r="614" ht="12.75">
      <c r="B614" s="18"/>
    </row>
    <row r="615" ht="12.75">
      <c r="B615" s="18"/>
    </row>
    <row r="616" ht="12.75">
      <c r="B616" s="18"/>
    </row>
    <row r="617" ht="12.75">
      <c r="B617" s="18"/>
    </row>
    <row r="618" ht="12.75">
      <c r="B618" s="18"/>
    </row>
    <row r="619" ht="12.75">
      <c r="B619" s="18"/>
    </row>
    <row r="620" ht="12.75">
      <c r="B620" s="18"/>
    </row>
    <row r="621" ht="12.75">
      <c r="B621" s="18"/>
    </row>
    <row r="622" ht="12.75">
      <c r="B622" s="18"/>
    </row>
    <row r="623" ht="12.75">
      <c r="B623" s="18"/>
    </row>
    <row r="624" ht="12.75">
      <c r="B624" s="18"/>
    </row>
    <row r="625" ht="12.75">
      <c r="B625" s="18"/>
    </row>
    <row r="626" ht="12.75">
      <c r="B626" s="18"/>
    </row>
    <row r="627" ht="12.75">
      <c r="B627" s="18"/>
    </row>
    <row r="628" ht="12.75">
      <c r="B628" s="18"/>
    </row>
    <row r="629" ht="12.75">
      <c r="B629" s="18"/>
    </row>
    <row r="630" ht="12.75">
      <c r="B630" s="18"/>
    </row>
    <row r="631" ht="12.75">
      <c r="B631" s="18"/>
    </row>
    <row r="632" ht="12.75">
      <c r="B632" s="18"/>
    </row>
    <row r="633" ht="12.75">
      <c r="B633" s="18"/>
    </row>
    <row r="634" ht="12.75">
      <c r="B634" s="18"/>
    </row>
    <row r="635" ht="12.75">
      <c r="B635" s="18"/>
    </row>
    <row r="636" ht="12.75">
      <c r="B636" s="18"/>
    </row>
    <row r="637" ht="12.75">
      <c r="B637" s="18"/>
    </row>
    <row r="638" ht="12.75">
      <c r="B638" s="18"/>
    </row>
    <row r="639" ht="12.75">
      <c r="B639" s="18"/>
    </row>
    <row r="640" ht="12.75">
      <c r="B640" s="18"/>
    </row>
    <row r="641" ht="12.75">
      <c r="B641" s="18"/>
    </row>
    <row r="642" ht="12.75">
      <c r="B642" s="18"/>
    </row>
    <row r="643" ht="12.75">
      <c r="B643" s="18"/>
    </row>
    <row r="644" ht="12.75">
      <c r="B644" s="18"/>
    </row>
    <row r="645" ht="12.75">
      <c r="B645" s="18"/>
    </row>
    <row r="646" ht="12.75">
      <c r="B646" s="18"/>
    </row>
    <row r="647" ht="12.75">
      <c r="B647" s="18"/>
    </row>
    <row r="648" ht="12.75">
      <c r="B648" s="18"/>
    </row>
    <row r="649" ht="12.75">
      <c r="B649" s="18"/>
    </row>
    <row r="650" ht="12.75">
      <c r="B650" s="18"/>
    </row>
    <row r="651" ht="12.75">
      <c r="B651" s="18"/>
    </row>
    <row r="652" ht="12.75">
      <c r="B652" s="18"/>
    </row>
    <row r="653" ht="12.75">
      <c r="B653" s="18"/>
    </row>
    <row r="654" ht="12.75">
      <c r="B654" s="18"/>
    </row>
    <row r="655" ht="12.75">
      <c r="B655" s="18"/>
    </row>
    <row r="656" ht="12.75">
      <c r="B656" s="18"/>
    </row>
    <row r="657" ht="12.75">
      <c r="B657" s="18"/>
    </row>
    <row r="658" ht="12.75">
      <c r="B658" s="18"/>
    </row>
    <row r="659" ht="12.75">
      <c r="B659" s="18"/>
    </row>
    <row r="660" ht="12.75">
      <c r="B660" s="18"/>
    </row>
    <row r="661" ht="12.75">
      <c r="B661" s="18"/>
    </row>
    <row r="662" ht="12.75">
      <c r="B662" s="18"/>
    </row>
    <row r="663" ht="12.75">
      <c r="B663" s="18"/>
    </row>
    <row r="664" ht="12.75">
      <c r="B664" s="18"/>
    </row>
    <row r="665" ht="12.75">
      <c r="B665" s="18"/>
    </row>
    <row r="666" ht="12.75">
      <c r="B666" s="18"/>
    </row>
    <row r="667" ht="12.75">
      <c r="B667" s="18"/>
    </row>
    <row r="668" ht="12.75">
      <c r="B668" s="18"/>
    </row>
    <row r="669" ht="12.75">
      <c r="B669" s="18"/>
    </row>
    <row r="670" ht="12.75">
      <c r="B670" s="18"/>
    </row>
    <row r="671" ht="12.75">
      <c r="B671" s="18"/>
    </row>
    <row r="672" ht="12.75">
      <c r="B672" s="18"/>
    </row>
    <row r="673" ht="12.75">
      <c r="B673" s="18"/>
    </row>
    <row r="674" ht="12.75">
      <c r="B674" s="18"/>
    </row>
    <row r="675" ht="12.75">
      <c r="B675" s="18"/>
    </row>
    <row r="676" ht="12.75">
      <c r="B676" s="18"/>
    </row>
    <row r="677" ht="12.75">
      <c r="B677" s="18"/>
    </row>
    <row r="678" ht="12.75">
      <c r="B678" s="18"/>
    </row>
    <row r="679" ht="12.75">
      <c r="B679" s="18"/>
    </row>
    <row r="680" ht="12.75">
      <c r="B680" s="18"/>
    </row>
    <row r="681" ht="12.75">
      <c r="B681" s="18"/>
    </row>
    <row r="682" ht="12.75">
      <c r="B682" s="18"/>
    </row>
    <row r="683" ht="12.75">
      <c r="B683" s="18"/>
    </row>
    <row r="684" ht="12.75">
      <c r="B684" s="18"/>
    </row>
    <row r="685" ht="12.75">
      <c r="B685" s="18"/>
    </row>
    <row r="686" ht="12.75">
      <c r="B686" s="18"/>
    </row>
    <row r="687" ht="12.75">
      <c r="B687" s="18"/>
    </row>
    <row r="688" ht="12.75">
      <c r="B688" s="18"/>
    </row>
    <row r="689" ht="12.75">
      <c r="B689" s="18"/>
    </row>
    <row r="690" ht="12.75">
      <c r="B690" s="18"/>
    </row>
    <row r="691" ht="12.75">
      <c r="B691" s="18"/>
    </row>
    <row r="692" ht="12.75">
      <c r="B692" s="18"/>
    </row>
    <row r="693" ht="12.75">
      <c r="B693" s="18"/>
    </row>
    <row r="694" ht="12.75">
      <c r="B694" s="18"/>
    </row>
    <row r="695" ht="12.75">
      <c r="B695" s="18"/>
    </row>
    <row r="696" ht="12.75">
      <c r="B696" s="18"/>
    </row>
    <row r="697" ht="12.75">
      <c r="B697" s="18"/>
    </row>
    <row r="698" ht="12.75">
      <c r="B698" s="18"/>
    </row>
    <row r="699" ht="12.75">
      <c r="B699" s="18"/>
    </row>
    <row r="700" ht="12.75">
      <c r="B700" s="18"/>
    </row>
    <row r="701" ht="12.75">
      <c r="B701" s="18"/>
    </row>
    <row r="702" ht="12.75">
      <c r="B702" s="18"/>
    </row>
    <row r="703" ht="12.75">
      <c r="B703" s="18"/>
    </row>
    <row r="704" ht="12.75">
      <c r="B704" s="18"/>
    </row>
    <row r="705" ht="12.75">
      <c r="B705" s="18"/>
    </row>
    <row r="706" ht="12.75">
      <c r="B706" s="18"/>
    </row>
    <row r="707" ht="12.75">
      <c r="B707" s="18"/>
    </row>
    <row r="708" ht="12.75">
      <c r="B708" s="18"/>
    </row>
    <row r="709" ht="12.75">
      <c r="B709" s="18"/>
    </row>
    <row r="710" ht="12.75">
      <c r="B710" s="18"/>
    </row>
    <row r="711" ht="12.75">
      <c r="B711" s="18"/>
    </row>
    <row r="712" ht="12.75">
      <c r="B712" s="18"/>
    </row>
    <row r="713" ht="12.75">
      <c r="B713" s="18"/>
    </row>
    <row r="714" ht="12.75">
      <c r="B714" s="18"/>
    </row>
    <row r="715" ht="12.75">
      <c r="B715" s="18"/>
    </row>
    <row r="716" ht="12.75">
      <c r="B716" s="18"/>
    </row>
    <row r="717" ht="12.75">
      <c r="B717" s="18"/>
    </row>
    <row r="718" ht="12.75">
      <c r="B718" s="18"/>
    </row>
    <row r="719" ht="12.75">
      <c r="B719" s="18"/>
    </row>
    <row r="720" ht="12.75">
      <c r="B720" s="18"/>
    </row>
    <row r="721" ht="12.75">
      <c r="B721" s="18"/>
    </row>
    <row r="722" ht="12.75">
      <c r="B722" s="18"/>
    </row>
    <row r="723" ht="12.75">
      <c r="B723" s="18"/>
    </row>
    <row r="724" ht="12.75">
      <c r="B724" s="18"/>
    </row>
    <row r="725" ht="12.75">
      <c r="B725" s="18"/>
    </row>
    <row r="726" ht="12.75">
      <c r="B726" s="18"/>
    </row>
    <row r="727" ht="12.75">
      <c r="B727" s="18"/>
    </row>
    <row r="728" ht="12.75">
      <c r="B728" s="18"/>
    </row>
    <row r="729" ht="12.75">
      <c r="B729" s="18"/>
    </row>
    <row r="730" ht="12.75">
      <c r="B730" s="18"/>
    </row>
    <row r="731" ht="12.75">
      <c r="B731" s="18"/>
    </row>
    <row r="732" ht="12.75">
      <c r="B732" s="18"/>
    </row>
    <row r="733" ht="12.75">
      <c r="B733" s="18"/>
    </row>
    <row r="734" ht="12.75">
      <c r="B734" s="18"/>
    </row>
    <row r="735" ht="12.75">
      <c r="B735" s="18"/>
    </row>
    <row r="736" ht="12.75">
      <c r="B736" s="18"/>
    </row>
    <row r="737" ht="12.75">
      <c r="B737" s="18"/>
    </row>
    <row r="738" ht="12.75">
      <c r="B738" s="18"/>
    </row>
    <row r="739" ht="12.75">
      <c r="B739" s="18"/>
    </row>
    <row r="740" ht="12.75">
      <c r="B740" s="18"/>
    </row>
    <row r="741" ht="12.75">
      <c r="B741" s="18"/>
    </row>
    <row r="742" ht="12.75">
      <c r="B742" s="18"/>
    </row>
    <row r="743" ht="12.75">
      <c r="B743" s="18"/>
    </row>
    <row r="744" ht="12.75">
      <c r="B744" s="18"/>
    </row>
    <row r="745" ht="12.75">
      <c r="B745" s="18"/>
    </row>
    <row r="746" ht="12.75">
      <c r="B746" s="18"/>
    </row>
    <row r="747" ht="12.75">
      <c r="B747" s="18"/>
    </row>
    <row r="748" ht="12.75">
      <c r="B748" s="18"/>
    </row>
    <row r="749" ht="12.75">
      <c r="B749" s="18"/>
    </row>
    <row r="750" ht="12.75">
      <c r="B750" s="18"/>
    </row>
    <row r="751" ht="12.75">
      <c r="B751" s="18"/>
    </row>
    <row r="752" ht="12.75">
      <c r="B752" s="18"/>
    </row>
    <row r="753" ht="12.75">
      <c r="B753" s="18"/>
    </row>
    <row r="754" ht="12.75">
      <c r="B754" s="18"/>
    </row>
    <row r="755" ht="12.75">
      <c r="B755" s="18"/>
    </row>
    <row r="756" ht="12.75">
      <c r="B756" s="18"/>
    </row>
    <row r="757" ht="12.75">
      <c r="B757" s="18"/>
    </row>
    <row r="758" ht="12.75">
      <c r="B758" s="18"/>
    </row>
    <row r="759" ht="12.75">
      <c r="B759" s="18"/>
    </row>
    <row r="760" ht="12.75">
      <c r="B760" s="18"/>
    </row>
    <row r="761" ht="12.75">
      <c r="B761" s="18"/>
    </row>
    <row r="762" ht="12.75">
      <c r="B762" s="18"/>
    </row>
    <row r="763" ht="12.75">
      <c r="B763" s="18"/>
    </row>
    <row r="764" ht="12.75">
      <c r="B764" s="18"/>
    </row>
    <row r="765" ht="12.75">
      <c r="B765" s="18"/>
    </row>
    <row r="766" ht="12.75">
      <c r="B766" s="18"/>
    </row>
    <row r="767" ht="12.75">
      <c r="B767" s="18"/>
    </row>
    <row r="768" ht="12.75">
      <c r="B768" s="18"/>
    </row>
    <row r="769" ht="12.75">
      <c r="B769" s="18"/>
    </row>
    <row r="770" ht="12.75">
      <c r="B770" s="18"/>
    </row>
    <row r="771" ht="12.75">
      <c r="B771" s="18"/>
    </row>
    <row r="772" ht="12.75">
      <c r="B772" s="18"/>
    </row>
    <row r="773" ht="12.75">
      <c r="B773" s="18"/>
    </row>
    <row r="774" ht="12.75">
      <c r="B774" s="18"/>
    </row>
    <row r="775" ht="12.75">
      <c r="B775" s="18"/>
    </row>
    <row r="776" ht="12.75">
      <c r="B776" s="18"/>
    </row>
    <row r="777" ht="12.75">
      <c r="B777" s="18"/>
    </row>
    <row r="778" ht="12.75">
      <c r="B778" s="18"/>
    </row>
    <row r="779" ht="12.75">
      <c r="B779" s="18"/>
    </row>
    <row r="780" ht="12.75">
      <c r="B780" s="18"/>
    </row>
    <row r="781" ht="12.75">
      <c r="B781" s="18"/>
    </row>
    <row r="782" ht="12.75">
      <c r="B782" s="18"/>
    </row>
    <row r="783" ht="12.75">
      <c r="B783" s="18"/>
    </row>
    <row r="784" ht="12.75">
      <c r="B784" s="18"/>
    </row>
    <row r="785" ht="12.75">
      <c r="B785" s="18"/>
    </row>
    <row r="786" ht="12.75">
      <c r="B786" s="18"/>
    </row>
    <row r="787" ht="12.75">
      <c r="B787" s="18"/>
    </row>
    <row r="788" ht="12.75">
      <c r="B788" s="18"/>
    </row>
    <row r="789" ht="12.75">
      <c r="B789" s="18"/>
    </row>
    <row r="790" ht="12.75">
      <c r="B790" s="18"/>
    </row>
    <row r="791" ht="12.75">
      <c r="B791" s="18"/>
    </row>
    <row r="792" ht="12.75">
      <c r="B792" s="18"/>
    </row>
    <row r="793" ht="12.75">
      <c r="B793" s="18"/>
    </row>
    <row r="794" ht="12.75">
      <c r="B794" s="18"/>
    </row>
    <row r="795" ht="12.75">
      <c r="B795" s="18"/>
    </row>
    <row r="796" ht="12.75">
      <c r="B796" s="18"/>
    </row>
    <row r="797" ht="12.75">
      <c r="B797" s="18"/>
    </row>
    <row r="798" ht="12.75">
      <c r="B798" s="18"/>
    </row>
    <row r="799" ht="12.75">
      <c r="B799" s="18"/>
    </row>
    <row r="800" ht="12.75">
      <c r="B800" s="18"/>
    </row>
    <row r="801" ht="12.75">
      <c r="B801" s="18"/>
    </row>
  </sheetData>
  <sheetProtection/>
  <mergeCells count="29">
    <mergeCell ref="F3:I3"/>
    <mergeCell ref="M8:M9"/>
    <mergeCell ref="E8:E9"/>
    <mergeCell ref="A8:A9"/>
    <mergeCell ref="B8:B9"/>
    <mergeCell ref="C8:C9"/>
    <mergeCell ref="D8:D9"/>
    <mergeCell ref="H8:H9"/>
    <mergeCell ref="G8:G9"/>
    <mergeCell ref="K8:K9"/>
    <mergeCell ref="B7:D7"/>
    <mergeCell ref="B4:M4"/>
    <mergeCell ref="B5:M5"/>
    <mergeCell ref="B6:M6"/>
    <mergeCell ref="L8:L9"/>
    <mergeCell ref="J8:J9"/>
    <mergeCell ref="A51:B51"/>
    <mergeCell ref="A52:B52"/>
    <mergeCell ref="F8:F9"/>
    <mergeCell ref="I8:I9"/>
    <mergeCell ref="A54:B54"/>
    <mergeCell ref="G54:H54"/>
    <mergeCell ref="A58:B58"/>
    <mergeCell ref="A55:B55"/>
    <mergeCell ref="G55:H55"/>
    <mergeCell ref="A56:B56"/>
    <mergeCell ref="G56:H56"/>
    <mergeCell ref="A57:B57"/>
    <mergeCell ref="G57:H57"/>
  </mergeCells>
  <printOptions/>
  <pageMargins left="0.3937007874015748" right="0.35433070866141736" top="0.3937007874015748" bottom="0.3937007874015748" header="0.15748031496062992" footer="0.1574803149606299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w2krek6</dc:creator>
  <cp:keywords/>
  <dc:description/>
  <cp:lastModifiedBy>nikulina_zs</cp:lastModifiedBy>
  <cp:lastPrinted>2012-12-13T11:32:40Z</cp:lastPrinted>
  <dcterms:created xsi:type="dcterms:W3CDTF">2011-05-10T07:47:08Z</dcterms:created>
  <dcterms:modified xsi:type="dcterms:W3CDTF">2014-02-12T11:13:25Z</dcterms:modified>
  <cp:category/>
  <cp:version/>
  <cp:contentType/>
  <cp:contentStatus/>
</cp:coreProperties>
</file>